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05" windowHeight="9120" tabRatio="756" activeTab="19"/>
  </bookViews>
  <sheets>
    <sheet name="т1" sheetId="1" r:id="rId1"/>
    <sheet name="ОТМ" sheetId="2" state="hidden" r:id="rId2"/>
    <sheet name="ОТМ-1" sheetId="3" state="hidden" r:id="rId3"/>
    <sheet name="т2" sheetId="4" r:id="rId4"/>
    <sheet name="Бюджет" sheetId="5" state="hidden" r:id="rId5"/>
    <sheet name="т3" sheetId="6" r:id="rId6"/>
    <sheet name="т4" sheetId="7" r:id="rId7"/>
    <sheet name="т5" sheetId="8" r:id="rId8"/>
    <sheet name="т6" sheetId="9" r:id="rId9"/>
    <sheet name="т7" sheetId="10" r:id="rId10"/>
    <sheet name="т8" sheetId="11" r:id="rId11"/>
    <sheet name="т9" sheetId="12" r:id="rId12"/>
    <sheet name="т10" sheetId="13" r:id="rId13"/>
    <sheet name="т11" sheetId="14" r:id="rId14"/>
    <sheet name="т12" sheetId="15" r:id="rId15"/>
    <sheet name="т13" sheetId="16" r:id="rId16"/>
    <sheet name="т14" sheetId="17" r:id="rId17"/>
    <sheet name="т15" sheetId="18" r:id="rId18"/>
    <sheet name="т16" sheetId="19" r:id="rId19"/>
    <sheet name="т17" sheetId="20" r:id="rId20"/>
  </sheets>
  <externalReferences>
    <externalReference r:id="rId23"/>
    <externalReference r:id="rId24"/>
  </externalReferences>
  <definedNames>
    <definedName name="_xlnm.Print_Titles" localSheetId="13">'т11'!$6:$6</definedName>
    <definedName name="_xlnm.Print_Titles" localSheetId="15">'т13'!$6:$6</definedName>
    <definedName name="_xlnm.Print_Titles" localSheetId="16">'т14'!$6:$6</definedName>
    <definedName name="_xlnm.Print_Titles" localSheetId="19">'т17'!$8:$8</definedName>
    <definedName name="_xlnm.Print_Titles" localSheetId="5">'т3'!$7:$7</definedName>
    <definedName name="_xlnm.Print_Titles" localSheetId="8">'т6'!$7:$7</definedName>
    <definedName name="_xlnm.Print_Titles" localSheetId="11">'т9'!$6:$6</definedName>
    <definedName name="_xlnm.Print_Area" localSheetId="4">'Бюджет'!$A$1:$C$54</definedName>
    <definedName name="_xlnm.Print_Area" localSheetId="0">'т1'!$A$1:$E$27</definedName>
    <definedName name="_xlnm.Print_Area" localSheetId="18">'т16'!$A$1:$K$11</definedName>
    <definedName name="_xlnm.Print_Area" localSheetId="19">'т17'!$A$1:$K$374</definedName>
    <definedName name="_xlnm.Print_Area" localSheetId="3">'т2'!$A$1:$S$27</definedName>
    <definedName name="_xlnm.Print_Area" localSheetId="6">'т4'!$A$1:$M$37</definedName>
    <definedName name="_xlnm.Print_Area" localSheetId="10">'т8'!$A$1:$V$20</definedName>
    <definedName name="_xlnm.Print_Area" localSheetId="11">'т9'!$A$1:$L$67</definedName>
  </definedNames>
  <calcPr fullCalcOnLoad="1"/>
</workbook>
</file>

<file path=xl/sharedStrings.xml><?xml version="1.0" encoding="utf-8"?>
<sst xmlns="http://schemas.openxmlformats.org/spreadsheetml/2006/main" count="4255" uniqueCount="1004">
  <si>
    <t>Заработная плата</t>
  </si>
  <si>
    <t xml:space="preserve">тыс. руб. </t>
  </si>
  <si>
    <t>т</t>
  </si>
  <si>
    <t xml:space="preserve"> </t>
  </si>
  <si>
    <t>х</t>
  </si>
  <si>
    <t xml:space="preserve"> 1.2</t>
  </si>
  <si>
    <t>час</t>
  </si>
  <si>
    <t xml:space="preserve"> 1.3</t>
  </si>
  <si>
    <t xml:space="preserve"> 1.3.1</t>
  </si>
  <si>
    <t xml:space="preserve"> 1.4</t>
  </si>
  <si>
    <t>гол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</si>
  <si>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</si>
  <si>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</si>
  <si>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</si>
  <si>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</si>
  <si>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</si>
  <si>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</si>
  <si>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1.6.1</t>
  </si>
  <si>
    <t xml:space="preserve"> 1.6.2</t>
  </si>
  <si>
    <t xml:space="preserve"> 1.6.3</t>
  </si>
  <si>
    <t xml:space="preserve"> 1.6.4</t>
  </si>
  <si>
    <t xml:space="preserve"> 1.6.5</t>
  </si>
  <si>
    <t xml:space="preserve"> 1.9.2</t>
  </si>
  <si>
    <t>Искусственное осеменение</t>
  </si>
  <si>
    <t>доз</t>
  </si>
  <si>
    <t>га</t>
  </si>
  <si>
    <t>Погрузка минеральных удобрений</t>
  </si>
  <si>
    <t>Внесение мин.удобрений</t>
  </si>
  <si>
    <t>Уборка зерновых культур</t>
  </si>
  <si>
    <t>Отвоз зерна от комбайна на расст. 7 км</t>
  </si>
  <si>
    <t>Первичная подработка зерна</t>
  </si>
  <si>
    <t>Услуги по сушке зерна</t>
  </si>
  <si>
    <t>Отвоз зерна на сушку и в склад на расст. 45км</t>
  </si>
  <si>
    <t>Транспортировка зерна ток-элеватор</t>
  </si>
  <si>
    <t>Прямое комбайнирование с изм.соломы</t>
  </si>
  <si>
    <t>Отвоз зерна на сушку и в склад</t>
  </si>
  <si>
    <t>Работа на току</t>
  </si>
  <si>
    <t>3.1.</t>
  </si>
  <si>
    <t xml:space="preserve"> 4.1</t>
  </si>
  <si>
    <t xml:space="preserve"> 4.2</t>
  </si>
  <si>
    <t xml:space="preserve"> 4.3</t>
  </si>
  <si>
    <t xml:space="preserve"> 5.1</t>
  </si>
  <si>
    <t xml:space="preserve"> 5.2</t>
  </si>
  <si>
    <t xml:space="preserve"> 5.3</t>
  </si>
  <si>
    <t>Расходы на соц. нужды</t>
  </si>
  <si>
    <t>Генеральный директор</t>
  </si>
  <si>
    <t>№ 
п/п</t>
  </si>
  <si>
    <t>Наименование мероприятий</t>
  </si>
  <si>
    <t>Ед. изм.</t>
  </si>
  <si>
    <t xml:space="preserve">Объем </t>
  </si>
  <si>
    <t>Оценочная стоимость, тыс. руб.</t>
  </si>
  <si>
    <t>Срок исполнения</t>
  </si>
  <si>
    <t>Ответственный исполнитель</t>
  </si>
  <si>
    <t>Контроль за исполнением</t>
  </si>
  <si>
    <t>Примечание</t>
  </si>
  <si>
    <t>1.</t>
  </si>
  <si>
    <t>Соблюдение всех технологических процессов в растениеводстве согласно рабочему плану  на июль, в том числе:</t>
  </si>
  <si>
    <t>весь период</t>
  </si>
  <si>
    <t>Гл.агроном Чекалина Т.В., гл. инженер Камакин С.Г. Инженер МТС Кустов Н.П.</t>
  </si>
  <si>
    <t>Титов В.Н., Газукин М.В.</t>
  </si>
  <si>
    <t>2.</t>
  </si>
  <si>
    <t>Титов В.Н.</t>
  </si>
  <si>
    <t>2.2.</t>
  </si>
  <si>
    <t>2.3.</t>
  </si>
  <si>
    <t>тыс. руб.</t>
  </si>
  <si>
    <t>3.</t>
  </si>
  <si>
    <t>Гл. инженер 
Камакин С.Г.</t>
  </si>
  <si>
    <t>Газукин М.В.</t>
  </si>
  <si>
    <t>3.2.</t>
  </si>
  <si>
    <t>3.3.</t>
  </si>
  <si>
    <t xml:space="preserve"> 3.4.</t>
  </si>
  <si>
    <t>3.5.</t>
  </si>
  <si>
    <t>4.</t>
  </si>
  <si>
    <t>на весь период</t>
  </si>
  <si>
    <t>Гл. зоотехник 
Шаталова Л.Ф.</t>
  </si>
  <si>
    <t>Булатов С.Д.</t>
  </si>
  <si>
    <t>тн</t>
  </si>
  <si>
    <t xml:space="preserve"> 4.4</t>
  </si>
  <si>
    <t xml:space="preserve"> 4.5</t>
  </si>
  <si>
    <t xml:space="preserve"> 4.6</t>
  </si>
  <si>
    <t>Завоз грубых и сочных кормов на ферму</t>
  </si>
  <si>
    <t xml:space="preserve"> 4.7</t>
  </si>
  <si>
    <t xml:space="preserve"> 4.9</t>
  </si>
  <si>
    <t>Проведение лечебных мероприятий с/х животных</t>
  </si>
  <si>
    <t>СТД "Сет-Торг" гл.зоотехник 
Шаталова Л.Ф.</t>
  </si>
  <si>
    <t xml:space="preserve"> 4.10</t>
  </si>
  <si>
    <t>Приобретение кормовых добавок</t>
  </si>
  <si>
    <t xml:space="preserve"> 4.11</t>
  </si>
  <si>
    <t xml:space="preserve"> 4.12</t>
  </si>
  <si>
    <t>Материалы для жив-ва:</t>
  </si>
  <si>
    <t>шт</t>
  </si>
  <si>
    <t xml:space="preserve"> 4.12.2</t>
  </si>
  <si>
    <t>кг</t>
  </si>
  <si>
    <t>вата белая</t>
  </si>
  <si>
    <t xml:space="preserve"> 4.12.4</t>
  </si>
  <si>
    <t xml:space="preserve"> 4.12.5</t>
  </si>
  <si>
    <t xml:space="preserve"> 4.12.6</t>
  </si>
  <si>
    <t>м</t>
  </si>
  <si>
    <t>перчатки полиэтиленовые</t>
  </si>
  <si>
    <t>Обеспечить бесперебойное снабжение ГСМ</t>
  </si>
  <si>
    <t>Инженер МТС Кустов Н.П.</t>
  </si>
  <si>
    <t>в т.ч. диз.топливо</t>
  </si>
  <si>
    <t>инженер МТС Кустов Н.П.</t>
  </si>
  <si>
    <t xml:space="preserve"> бензин</t>
  </si>
  <si>
    <t>масло</t>
  </si>
  <si>
    <t>Итого затрат</t>
  </si>
  <si>
    <t>семя</t>
  </si>
  <si>
    <t>№ п/п</t>
  </si>
  <si>
    <t>Итого</t>
  </si>
  <si>
    <t>Рожь</t>
  </si>
  <si>
    <t>Яровая пшеница</t>
  </si>
  <si>
    <t>Ячмень (70% площадей)</t>
  </si>
  <si>
    <t>Овес</t>
  </si>
  <si>
    <t>Отвоз зерна от комбайна</t>
  </si>
  <si>
    <t>Вика</t>
  </si>
  <si>
    <t>Скашивание в валки</t>
  </si>
  <si>
    <t>Подбор и обмолот валков</t>
  </si>
  <si>
    <t>Прессование соломы</t>
  </si>
  <si>
    <t>Погрузка рулонов</t>
  </si>
  <si>
    <t>Укладка рулонов в скирду</t>
  </si>
  <si>
    <t>Рапс</t>
  </si>
  <si>
    <t>Подбор и обмолот валков с изм.соломы</t>
  </si>
  <si>
    <t>Гречиха</t>
  </si>
  <si>
    <t>Подготовка семян озимых культур</t>
  </si>
  <si>
    <t>Подвоз воды (10л/т)</t>
  </si>
  <si>
    <t>Протравливание семян</t>
  </si>
  <si>
    <t>Подготовка почвы под сев озимых</t>
  </si>
  <si>
    <t>Транспортировка мин.удобрений</t>
  </si>
  <si>
    <t>Внесение мин.удобрений под сев</t>
  </si>
  <si>
    <t>Поверхностная обработка почвы под сев озимых культур</t>
  </si>
  <si>
    <t>Предпосевная культивация</t>
  </si>
  <si>
    <t>Сев озимых культур</t>
  </si>
  <si>
    <t xml:space="preserve">Погрузка семян ржи </t>
  </si>
  <si>
    <t>Сев ржи</t>
  </si>
  <si>
    <t>Погрузка семян пшеницы</t>
  </si>
  <si>
    <t>Сев озимой пшеницы</t>
  </si>
  <si>
    <t>Подготовка почвы под сах.свеклу</t>
  </si>
  <si>
    <t>Погрузка мин. удобрений</t>
  </si>
  <si>
    <t>Вспашка зяби под свеклу,рапс и подсолнечник</t>
  </si>
  <si>
    <t>Культивация под сах.свеклу</t>
  </si>
  <si>
    <t>Уборка кукурузы (80% площадей)</t>
  </si>
  <si>
    <t>На зеленый корм</t>
  </si>
  <si>
    <t>Скашивание с измельчением</t>
  </si>
  <si>
    <t>Транспортировка измельченной массы</t>
  </si>
  <si>
    <t>На силос</t>
  </si>
  <si>
    <t xml:space="preserve">Разравнивание зеленой массы </t>
  </si>
  <si>
    <t>Трамбовка зеленой массы</t>
  </si>
  <si>
    <t>Погрузка и укладка соломы в транспорт</t>
  </si>
  <si>
    <t>Укрытие траншеи соломой</t>
  </si>
  <si>
    <t>Организация техническо-бытового обслуживания работников полеводства</t>
  </si>
  <si>
    <t>Приобретение продуктов для столовой</t>
  </si>
  <si>
    <t>Обеспечить техническую готовность машинно-тракторного парка к проведению полевых работ</t>
  </si>
  <si>
    <t>Газукин М.В.
Гичкин С.С.</t>
  </si>
  <si>
    <t xml:space="preserve">Организация ремонта с/х техники </t>
  </si>
  <si>
    <t>Подвоз ГСМ</t>
  </si>
  <si>
    <t>Подвоз запчастей</t>
  </si>
  <si>
    <t>Перегон комбайнов</t>
  </si>
  <si>
    <t>Соблюдение технологии производства продукции животноводства на июль месяц</t>
  </si>
  <si>
    <t xml:space="preserve"> 1.6.</t>
  </si>
  <si>
    <t xml:space="preserve"> 1.7.</t>
  </si>
  <si>
    <t xml:space="preserve"> 1.7.2</t>
  </si>
  <si>
    <t>1.9.</t>
  </si>
  <si>
    <t xml:space="preserve">Прямое комбайнирование с изм.соломы </t>
  </si>
  <si>
    <t>Транспортировка соломы на 7 км</t>
  </si>
  <si>
    <t>Подвоз семян с загрузкой в сеялку</t>
  </si>
  <si>
    <t>карцанг</t>
  </si>
  <si>
    <t>носовое кольцо</t>
  </si>
  <si>
    <t>утюг</t>
  </si>
  <si>
    <t>Услуго по ремонту эл.двигателя АОЛ (5,5 кВт, 1500об/мин)</t>
  </si>
  <si>
    <t>Электроматериал для животноводческих ферм</t>
  </si>
  <si>
    <t>тыс.руб</t>
  </si>
  <si>
    <t>Обеспечение получения привеса КРС в кол-ве не ниже 6 тн</t>
  </si>
  <si>
    <t>Обеспечение получения привеса овец 
не ниже 0,289тн</t>
  </si>
  <si>
    <t>г</t>
  </si>
  <si>
    <t>01-28.08.04г</t>
  </si>
  <si>
    <t>01.-10.08.04г</t>
  </si>
  <si>
    <t>10-13.08.04г</t>
  </si>
  <si>
    <t>15-25.08.04г</t>
  </si>
  <si>
    <t>17-20.08.04г</t>
  </si>
  <si>
    <t>25-28.08.04г</t>
  </si>
  <si>
    <t>15-31.08.04г</t>
  </si>
  <si>
    <t>01-31.08.04г</t>
  </si>
  <si>
    <t>25-31.08.04г</t>
  </si>
  <si>
    <t>20-31.08.04г</t>
  </si>
  <si>
    <t>01.08.-31.07.04г</t>
  </si>
  <si>
    <t>до 15.08.04.</t>
  </si>
  <si>
    <t>до 10.08.04.</t>
  </si>
  <si>
    <t>Бюджет предприятия ООО "Покровское"</t>
  </si>
  <si>
    <t xml:space="preserve">Показатель </t>
  </si>
  <si>
    <t>Всего</t>
  </si>
  <si>
    <t>Входящий остаток</t>
  </si>
  <si>
    <t>тыс.руб.</t>
  </si>
  <si>
    <t>Доходы всего, в т.ч. (сумма 1.1, 1.2, 1.3)</t>
  </si>
  <si>
    <t>Выручка от реализации продукции всего, в т.ч.</t>
  </si>
  <si>
    <t>от реализации молока</t>
  </si>
  <si>
    <t>Выручка от прочей реализации всего, в т.ч.</t>
  </si>
  <si>
    <t>аренда основных средств</t>
  </si>
  <si>
    <t>прочие (по видам)</t>
  </si>
  <si>
    <t>Инвестиции (собственные) всего, в т.ч.</t>
  </si>
  <si>
    <t>Расходы всего, в т.ч. (сумма 2.1,2.2,2.3)</t>
  </si>
  <si>
    <t>Расходы по текущей деятельности всего, в т.ч.</t>
  </si>
  <si>
    <t>Эксплуатационные расходы всего, в т.ч.</t>
  </si>
  <si>
    <t>Материалы- всего</t>
  </si>
  <si>
    <t>з/части</t>
  </si>
  <si>
    <t xml:space="preserve">покупка материалов для животноводства и медикаментов (расчет прилагается ) </t>
  </si>
  <si>
    <t>покупка продуктов для столовых</t>
  </si>
  <si>
    <t>Топливо-всего</t>
  </si>
  <si>
    <t>Энергия</t>
  </si>
  <si>
    <t>Газ</t>
  </si>
  <si>
    <t>Вода</t>
  </si>
  <si>
    <t xml:space="preserve">Услуги-всего, в т.ч. </t>
  </si>
  <si>
    <t>оплата электросвязи</t>
  </si>
  <si>
    <t>охрана</t>
  </si>
  <si>
    <t>услуги банка</t>
  </si>
  <si>
    <t>Налоги</t>
  </si>
  <si>
    <t>Прочие (по видам)</t>
  </si>
  <si>
    <t>канцтовары</t>
  </si>
  <si>
    <t>покупка бланков,бумаги,заправка ксерокса и принтеров</t>
  </si>
  <si>
    <t>уплата процентов за кредит</t>
  </si>
  <si>
    <t>Капитальные вложения всего, в т.ч.</t>
  </si>
  <si>
    <t>Сальдо денежных средств (I.-II.)</t>
  </si>
  <si>
    <t>Исходящий остаток (III.+Входящий остаток)</t>
  </si>
  <si>
    <t>Услуги по ремонту эл.двигателя АОЛ (2,2 кВт, 1500об/мин)</t>
  </si>
  <si>
    <t>Услуги по ремонту эл.двигателя АОЛ (22 кВт, 1500об/мин)</t>
  </si>
  <si>
    <t>Руководители ХП: Пятин В.А., Мосин В.Н., Куркин В.А., Семенов В.П., Данилов Ю.В.,        Федотов И.В.</t>
  </si>
  <si>
    <t>План организационно-технических мероприятий на август 2004 года по ООО "Покровское"</t>
  </si>
  <si>
    <t>Покупка племенного скота</t>
  </si>
  <si>
    <t>бараны</t>
  </si>
  <si>
    <t>Покупка семян</t>
  </si>
  <si>
    <t>оз пшеница "Галина" на 70 га</t>
  </si>
  <si>
    <t>рожь "Таловская 33" на 10 га</t>
  </si>
  <si>
    <t>до 20.08.04.</t>
  </si>
  <si>
    <t>Подработка семенного материала (на 1088 т)</t>
  </si>
  <si>
    <t xml:space="preserve"> 4.13</t>
  </si>
  <si>
    <t>4.13.1</t>
  </si>
  <si>
    <t xml:space="preserve"> 1.1.</t>
  </si>
  <si>
    <t xml:space="preserve"> 1.1.1</t>
  </si>
  <si>
    <t xml:space="preserve"> 1.1.1.1</t>
  </si>
  <si>
    <t xml:space="preserve"> 1.1.1.2</t>
  </si>
  <si>
    <t xml:space="preserve"> 1.1.1.3</t>
  </si>
  <si>
    <t xml:space="preserve"> 1.1.1.4</t>
  </si>
  <si>
    <t xml:space="preserve"> 1.1.1.5</t>
  </si>
  <si>
    <t xml:space="preserve"> 1.1.1.6</t>
  </si>
  <si>
    <t xml:space="preserve"> 1.1.2</t>
  </si>
  <si>
    <t xml:space="preserve"> 1.1.3</t>
  </si>
  <si>
    <t>1.1.2.1</t>
  </si>
  <si>
    <t>1.1.2.2</t>
  </si>
  <si>
    <t>1.1.2.3</t>
  </si>
  <si>
    <t>1.1.2.4</t>
  </si>
  <si>
    <t>1.1.2.5</t>
  </si>
  <si>
    <t>1.1.2.6</t>
  </si>
  <si>
    <t xml:space="preserve"> 1.1.3.1</t>
  </si>
  <si>
    <t xml:space="preserve"> 1.1.3.2</t>
  </si>
  <si>
    <t xml:space="preserve"> 1.1.3.3</t>
  </si>
  <si>
    <t xml:space="preserve"> 1.1.3.4</t>
  </si>
  <si>
    <t xml:space="preserve"> 1.1.4</t>
  </si>
  <si>
    <t xml:space="preserve"> 1.1.4.1</t>
  </si>
  <si>
    <t xml:space="preserve"> 1.1.4.2</t>
  </si>
  <si>
    <t xml:space="preserve"> 1.1.4.3</t>
  </si>
  <si>
    <t xml:space="preserve"> 1.1.4.4</t>
  </si>
  <si>
    <t xml:space="preserve"> 1.1.5</t>
  </si>
  <si>
    <t>1.1.5.1</t>
  </si>
  <si>
    <t>1.1.5.2</t>
  </si>
  <si>
    <t>1.1.5.3</t>
  </si>
  <si>
    <t>1.1.5.4</t>
  </si>
  <si>
    <t>1.1.5.5</t>
  </si>
  <si>
    <t xml:space="preserve"> 1.1.7</t>
  </si>
  <si>
    <t>1.1.7.1</t>
  </si>
  <si>
    <t>1.1.7.2</t>
  </si>
  <si>
    <t>1.1.7.3</t>
  </si>
  <si>
    <t>1.1.7.4</t>
  </si>
  <si>
    <t>1.1.7.6</t>
  </si>
  <si>
    <t xml:space="preserve"> 1.1.9</t>
  </si>
  <si>
    <t>1.1.9.1</t>
  </si>
  <si>
    <t>1.1.9.2</t>
  </si>
  <si>
    <t>1.1.9.3</t>
  </si>
  <si>
    <t>1.1.9.4</t>
  </si>
  <si>
    <t>1.1.9.5</t>
  </si>
  <si>
    <t>1.1.9.7</t>
  </si>
  <si>
    <t xml:space="preserve"> 1.3.2</t>
  </si>
  <si>
    <t xml:space="preserve"> 1.3.3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</si>
  <si>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</si>
  <si>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</si>
  <si>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</si>
  <si>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</si>
  <si>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</si>
  <si>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>на август 2004г.</t>
  </si>
  <si>
    <t>Услуги по перевозке зерна</t>
  </si>
  <si>
    <t xml:space="preserve"> 1.1.1.7</t>
  </si>
  <si>
    <t xml:space="preserve"> 1.1.1.8</t>
  </si>
  <si>
    <t>1.1.2.7</t>
  </si>
  <si>
    <t xml:space="preserve"> 1.1.3.7</t>
  </si>
  <si>
    <t xml:space="preserve"> 1.1.3.8</t>
  </si>
  <si>
    <t>Погрузка зерна погрузчиком из вороха (50%)</t>
  </si>
  <si>
    <t>Погрузка зерна погрузчиком из вороха(50%)</t>
  </si>
  <si>
    <t>Погрузка зерна погрузчиком из вороха (70%)</t>
  </si>
  <si>
    <t>1.1.2.8</t>
  </si>
  <si>
    <t>01.-08.08.04г</t>
  </si>
  <si>
    <t>9-11.08.04г</t>
  </si>
  <si>
    <t>09.-11.08.04г</t>
  </si>
  <si>
    <t>15-16.08.04г</t>
  </si>
  <si>
    <t>19-21.08.04г</t>
  </si>
  <si>
    <t>15-21.08.04г</t>
  </si>
  <si>
    <t>12-22.08.04г</t>
  </si>
  <si>
    <t>Обеспечение получения продукции привеса свиней не ниже 3,2 т, приплода 80 гол.</t>
  </si>
  <si>
    <t xml:space="preserve">Приобретение  средств индивидуальной защиты </t>
  </si>
  <si>
    <t>Гл.энергетик Кустов В.И.</t>
  </si>
  <si>
    <t>Логунов В.Н.</t>
  </si>
  <si>
    <t>лампа красного освещения</t>
  </si>
  <si>
    <t xml:space="preserve"> 6.1</t>
  </si>
  <si>
    <t xml:space="preserve"> 6.2</t>
  </si>
  <si>
    <t xml:space="preserve"> 6.3</t>
  </si>
  <si>
    <t>Наряд на ремонт электропроводки (согласно смет)</t>
  </si>
  <si>
    <t>25.07.04г</t>
  </si>
  <si>
    <t xml:space="preserve"> 1.1.10</t>
  </si>
  <si>
    <t xml:space="preserve"> 1.5</t>
  </si>
  <si>
    <t xml:space="preserve"> 1.6</t>
  </si>
  <si>
    <t xml:space="preserve">  1.7.1</t>
  </si>
  <si>
    <t xml:space="preserve"> 1.7.1.1</t>
  </si>
  <si>
    <t xml:space="preserve"> 1.7.1.2</t>
  </si>
  <si>
    <t>1.7.2.1</t>
  </si>
  <si>
    <t>1.7.2.2</t>
  </si>
  <si>
    <t>1.7.2.3</t>
  </si>
  <si>
    <t>1.7.2.4</t>
  </si>
  <si>
    <t>1.7.2.5</t>
  </si>
  <si>
    <t>1.7.2.6</t>
  </si>
  <si>
    <t>1.7.2.7</t>
  </si>
  <si>
    <t xml:space="preserve"> 1.8</t>
  </si>
  <si>
    <t xml:space="preserve"> 1.9.1</t>
  </si>
  <si>
    <t>Транспортировка обедов, доставка рабочих</t>
  </si>
  <si>
    <t>Услуги РСУ по ремонту объектов</t>
  </si>
  <si>
    <t>Капитальный ремонт коровника ХП"Даниловка"(строительно-монтажные работы)</t>
  </si>
  <si>
    <t>Капитальный ремонт коровника ХП"Федоровка" (строительно-монтажные работы)</t>
  </si>
  <si>
    <t>Работа автокрана</t>
  </si>
  <si>
    <t>Начальник РСУ     Брылев Н.М.</t>
  </si>
  <si>
    <t xml:space="preserve">Обеспечение получения планового  валового надоя молока 
в кол-ве 61 тн </t>
  </si>
  <si>
    <t xml:space="preserve">Транспортировка продукции животноводства </t>
  </si>
  <si>
    <t>Покупка телефонного аппарата</t>
  </si>
  <si>
    <t>Услуги по установке параллельного телефона специалистам</t>
  </si>
  <si>
    <t>Погрузка,разгрузка и раздача  грубых и сочных кормов</t>
  </si>
  <si>
    <t xml:space="preserve"> 4.8</t>
  </si>
  <si>
    <t xml:space="preserve">Подвоз воды </t>
  </si>
  <si>
    <t xml:space="preserve">Проведение агрохимического обследования </t>
  </si>
  <si>
    <t>Платная производственная практика</t>
  </si>
  <si>
    <t>"____" ___________ 2004г.</t>
  </si>
  <si>
    <t>Заместитель генерального директора</t>
  </si>
  <si>
    <t>В.П. Шершнев</t>
  </si>
  <si>
    <t>О.В. Кривошеев</t>
  </si>
  <si>
    <t>А.Г. Забурдаев</t>
  </si>
  <si>
    <t>В.М. Тюков</t>
  </si>
  <si>
    <t>Капитальный ремонт мехтока  ХП"Даниловка"</t>
  </si>
  <si>
    <t>Капитальный ремонт мехтока  ХП"Кунач"</t>
  </si>
  <si>
    <t>Согласовано</t>
  </si>
  <si>
    <t>Утверждаю</t>
  </si>
  <si>
    <t>по производству</t>
  </si>
  <si>
    <t xml:space="preserve">ЗАО "СЕТ-Холдинг" </t>
  </si>
  <si>
    <t>_______________ В.М. Урманов</t>
  </si>
  <si>
    <t>____________ В.З. Теремец</t>
  </si>
  <si>
    <t xml:space="preserve">Гл.агроном Чекалина Т.В., гл. инженер Камакин С.Г. </t>
  </si>
  <si>
    <t>01.-10.04г</t>
  </si>
  <si>
    <t>10-15.08.04г</t>
  </si>
  <si>
    <t>01.-12.08.04г</t>
  </si>
  <si>
    <t>12-25.08.04г</t>
  </si>
  <si>
    <t>15-27.08.04г</t>
  </si>
  <si>
    <t>1.1.8</t>
  </si>
  <si>
    <t>17-28.07.04г</t>
  </si>
  <si>
    <t>25-30.08.04г</t>
  </si>
  <si>
    <t>16-25.08.04г</t>
  </si>
  <si>
    <t>17-31.08.04г</t>
  </si>
  <si>
    <t>21-31.08.04г</t>
  </si>
  <si>
    <t>20-27.08.04г</t>
  </si>
  <si>
    <t>Руководители ХП</t>
  </si>
  <si>
    <t>Обеспечить техническую готовность машинно-тракторного парка</t>
  </si>
  <si>
    <t xml:space="preserve">Соблюдение технологии производства продукции животноводства </t>
  </si>
  <si>
    <t>Реализовать молока</t>
  </si>
  <si>
    <t>Инженер МТС                Кустов Н.П.</t>
  </si>
  <si>
    <t>Генеральный директор ООО "Покровское"</t>
  </si>
  <si>
    <t>В.Ф. Масловский</t>
  </si>
  <si>
    <t>Визы:</t>
  </si>
  <si>
    <t>Зам. генерального директора по экономике и планированию</t>
  </si>
  <si>
    <t>Зам. генерального директора по финансам - финансовый директор</t>
  </si>
  <si>
    <t>Зам. генерального директора по снабжению и сбыту</t>
  </si>
  <si>
    <t>Зам. генерального директора по корпоративным вопросам</t>
  </si>
  <si>
    <t>2</t>
  </si>
  <si>
    <t>3</t>
  </si>
  <si>
    <t>4</t>
  </si>
  <si>
    <t xml:space="preserve">Обеспечение получения планового  валового надоя молока 
</t>
  </si>
  <si>
    <t xml:space="preserve">Обеспечение получения привеса </t>
  </si>
  <si>
    <t xml:space="preserve">в.т.ч. мяса КРС </t>
  </si>
  <si>
    <t xml:space="preserve"> мяса овец 
</t>
  </si>
  <si>
    <t xml:space="preserve"> привеса мяса свиней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</si>
  <si>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</si>
  <si>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</si>
  <si>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</si>
  <si>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</si>
  <si>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</si>
  <si>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</si>
  <si>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</si>
  <si>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</si>
  <si>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</si>
  <si>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</si>
  <si>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</si>
  <si>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Показатели</t>
  </si>
  <si>
    <t>Кол-во</t>
  </si>
  <si>
    <t>Общая площадь территории Муниципального района</t>
  </si>
  <si>
    <t>кв.км</t>
  </si>
  <si>
    <t>- леса</t>
  </si>
  <si>
    <t>- водоемы</t>
  </si>
  <si>
    <t>-</t>
  </si>
  <si>
    <t xml:space="preserve">- площади земель, отведенные под  застройку  </t>
  </si>
  <si>
    <t xml:space="preserve">  сооружений производственного назначения и </t>
  </si>
  <si>
    <t xml:space="preserve">  инженерных коммуникаций (дороги, ЛЭП, </t>
  </si>
  <si>
    <t xml:space="preserve">  газопроводы, сооружения связи и т.п.)</t>
  </si>
  <si>
    <t xml:space="preserve">- площади земель сельскохозяйственного </t>
  </si>
  <si>
    <t xml:space="preserve">  назначения - всего</t>
  </si>
  <si>
    <t xml:space="preserve">- в том числе используемые под посевы </t>
  </si>
  <si>
    <t xml:space="preserve">  сельскохозяйственных культур</t>
  </si>
  <si>
    <t>%</t>
  </si>
  <si>
    <t>Количество сельскохозяйственных предприятий</t>
  </si>
  <si>
    <t>ед.</t>
  </si>
  <si>
    <t>- имеют в наличие земель сельхоз. назначения</t>
  </si>
  <si>
    <t>- в них среднегодовая численность работающих</t>
  </si>
  <si>
    <t>чел.</t>
  </si>
  <si>
    <t>- получаемый среднегодовой удельный доход</t>
  </si>
  <si>
    <t>руб./га</t>
  </si>
  <si>
    <t>Количество крестьянских (фермерских) хозяйств</t>
  </si>
  <si>
    <t>Количество личных подсобных хозяйств (семей)</t>
  </si>
  <si>
    <t>Площадь земель, используемых для личного подсобного хозяйства</t>
  </si>
  <si>
    <t>Получаемый среднегодовой доход с личного подсобного хозяйства</t>
  </si>
  <si>
    <t>1.1</t>
  </si>
  <si>
    <t>1.2</t>
  </si>
  <si>
    <t>1.3</t>
  </si>
  <si>
    <t>1.4</t>
  </si>
  <si>
    <t>1.5</t>
  </si>
  <si>
    <t>- площади земель, отведенные под застройку  населенных пунктов</t>
  </si>
  <si>
    <t xml:space="preserve">Характеристика землепользования на территории 
Муниципального района по состоянию на 01.01.2013г.
</t>
  </si>
  <si>
    <t>Таблица 1</t>
  </si>
  <si>
    <t>Наименование сельских поселений в составе Муниципального района</t>
  </si>
  <si>
    <t>Численность сельского населения  Муниципального района (чел.)</t>
  </si>
  <si>
    <t>Наличие и занятость трудоспособного сельского населения Муниципального района(чел.)</t>
  </si>
  <si>
    <t>В т.ч. по возрастным группам</t>
  </si>
  <si>
    <t>Наличие трудоспособного сельского населения - всего</t>
  </si>
  <si>
    <t>Занято на территории Муниципального района</t>
  </si>
  <si>
    <t>Работает за пределами территории Муниииципального района</t>
  </si>
  <si>
    <t>Не обеспечено работой</t>
  </si>
  <si>
    <t>Уровень безработицы (%)</t>
  </si>
  <si>
    <t>Среднемесячный душевой доход сельского населения (руб./чел.)</t>
  </si>
  <si>
    <t>До 7 лет</t>
  </si>
  <si>
    <t>7-18 лет</t>
  </si>
  <si>
    <t>18-35 лет</t>
  </si>
  <si>
    <t>35-60 лет</t>
  </si>
  <si>
    <t>Свыше 60 лет</t>
  </si>
  <si>
    <t>В том числе</t>
  </si>
  <si>
    <t>В сельскохозяйственном производстве</t>
  </si>
  <si>
    <t xml:space="preserve">В прочих организациях </t>
  </si>
  <si>
    <t>В личном подсобном хозяйстве</t>
  </si>
  <si>
    <t>Березовское</t>
  </si>
  <si>
    <t>Верхнежерновское</t>
  </si>
  <si>
    <t>Верхнесосенское</t>
  </si>
  <si>
    <t>Владимировское</t>
  </si>
  <si>
    <t>Вышнетуровецкое</t>
  </si>
  <si>
    <t>Даниловское</t>
  </si>
  <si>
    <t>Дросковское</t>
  </si>
  <si>
    <t>Журавецкое</t>
  </si>
  <si>
    <t>Ивановское</t>
  </si>
  <si>
    <t>Моховское</t>
  </si>
  <si>
    <t>Ретинское</t>
  </si>
  <si>
    <t>Столбецкое</t>
  </si>
  <si>
    <t>Топковское</t>
  </si>
  <si>
    <t>В организациях                                        бюджетной сферы</t>
  </si>
  <si>
    <t>Уровень занятости сельского населения                                                           Муниципального района (%)</t>
  </si>
  <si>
    <t xml:space="preserve">Характеристика численности, занятости и среднедушевой доход населения 
Покровского района по состоянию на 01.01.2013 г
</t>
  </si>
  <si>
    <t>Таблица 2</t>
  </si>
  <si>
    <t>Характеристика хозяйствующего субъекта АПК</t>
  </si>
  <si>
    <t>Планируемые на период 2014-2020 годов инвестиционные мероприятия (проекты) по созданию новых, расширению и модернизации существующих производств</t>
  </si>
  <si>
    <t>Организацион-но-правовая форма и наименование</t>
  </si>
  <si>
    <t>Основные направления хозяйственной деятельности</t>
  </si>
  <si>
    <t>Среднегодовой объем производства</t>
  </si>
  <si>
    <t>Наименование инвестиционного мероприятия (проекта)</t>
  </si>
  <si>
    <t>В том числе в рамках Государственной программы развития сельского хозяйства и регулирования рынков сельскохозяйственной продукции и продовольствия на 2008-2012 и 2013-2020 годы</t>
  </si>
  <si>
    <t>физ. ед.</t>
  </si>
  <si>
    <t>млн. руб</t>
  </si>
  <si>
    <t>Наименование подпрограммы и мероприятия Госпрограммы, в рамках которого реализуется данное мероприятие (проект)</t>
  </si>
  <si>
    <t>ООО «Северное сияние»</t>
  </si>
  <si>
    <t>Выращивание зерновых,  зернобобовых, масличных и технических культур</t>
  </si>
  <si>
    <t>128 582 тн.</t>
  </si>
  <si>
    <t>786,0 млн.руб.</t>
  </si>
  <si>
    <t>Подпрограмма "Развитие подотрасли растениеводства,  переработки и реализации продукции растениеводства"</t>
  </si>
  <si>
    <t>ООО «Эксима-Агро»</t>
  </si>
  <si>
    <t>Выращивание зерновых и зернобобовых культур</t>
  </si>
  <si>
    <t>58064 тн</t>
  </si>
  <si>
    <t>359,0 млн.руб.</t>
  </si>
  <si>
    <t>Приобретение техники, минеральных удобрений, средств защиты растений</t>
  </si>
  <si>
    <t>ООО «Знаменский СГЦ»</t>
  </si>
  <si>
    <t>Производство мяса свинины</t>
  </si>
  <si>
    <t>10 664 тн</t>
  </si>
  <si>
    <t>884,0 млн.руб.</t>
  </si>
  <si>
    <t>Строительство племенных репродукторов</t>
  </si>
  <si>
    <t>Подпрограмма "Развитие подотрасли животноводства, переработки и реализации продукции животноводства"</t>
  </si>
  <si>
    <t xml:space="preserve">Сумма инвестиций в рамках Госпрограммы
(млн. руб.)
</t>
  </si>
  <si>
    <t>Наименование сельского поселения, на территории которого планируется осуществлять реализацию программных мероприятий</t>
  </si>
  <si>
    <t>Объем инвестиций на реализацию инвестиционного мероприятия (проекта) (млн.руб.)</t>
  </si>
  <si>
    <t>Производство сельскохозяйственной продукции, ее переработка, хранение и реализация. Инвестиции в новое строительство объектов (строительство зерносушильного комплекса), приобретение техники, минеральных удобрений, средств защиты растений.</t>
  </si>
  <si>
    <t>Таблица 3</t>
  </si>
  <si>
    <t xml:space="preserve">Показатели состояния и развития агропромышленного комплекса Покровского района </t>
  </si>
  <si>
    <t>Наименование сельского поселения</t>
  </si>
  <si>
    <t>Общие данные</t>
  </si>
  <si>
    <t>Кол-во квартир</t>
  </si>
  <si>
    <t>Общ. площадь (кв.м)</t>
  </si>
  <si>
    <t>водопровод</t>
  </si>
  <si>
    <t>Сетевой газ</t>
  </si>
  <si>
    <t>В том числе ветхий и аварийный жилфонд</t>
  </si>
  <si>
    <t>домов (квартир)</t>
  </si>
  <si>
    <t>человек</t>
  </si>
  <si>
    <t>Домов (квартир)</t>
  </si>
  <si>
    <t>Площадь</t>
  </si>
  <si>
    <t>% к общему наличию</t>
  </si>
  <si>
    <t>Многоквартирный жилищный фонд</t>
  </si>
  <si>
    <t>Индивидуальный жилищный фонд</t>
  </si>
  <si>
    <t xml:space="preserve">Итого по Муниципальному району </t>
  </si>
  <si>
    <t>Обеспеченность коммунальными услугами (домов/человек)</t>
  </si>
  <si>
    <t>Кол-во домов (ед.)</t>
  </si>
  <si>
    <t>Кол-во жителей (чел.)</t>
  </si>
  <si>
    <t>Уровень  обеспеченности жильем (кв.м/чел.)</t>
  </si>
  <si>
    <t>Центральный водопровод</t>
  </si>
  <si>
    <t>Характеристика  жилищного фонда сельских поселений  Муниципального района  на 01. 01. 2013 года</t>
  </si>
  <si>
    <t>Таблица 4</t>
  </si>
  <si>
    <t xml:space="preserve">Наименование сельского поселения </t>
  </si>
  <si>
    <t>Общеобразовательные школы</t>
  </si>
  <si>
    <t>Детские дошкольные учреждения</t>
  </si>
  <si>
    <t>ФАПы и офисы врача общей практики</t>
  </si>
  <si>
    <t>Культурно-досуговые учреждения</t>
  </si>
  <si>
    <t>Плоскостные спортивные сооружения</t>
  </si>
  <si>
    <t>Наличие (ед.)</t>
  </si>
  <si>
    <t>Мощность – ученических мест</t>
  </si>
  <si>
    <t>Тех. состояние здания (удовл., ветхое, авар.)</t>
  </si>
  <si>
    <t xml:space="preserve">Уровень обеспеченности </t>
  </si>
  <si>
    <t>Мощность – детских мест</t>
  </si>
  <si>
    <t>Мощность – посадочных мест</t>
  </si>
  <si>
    <t>Площадь – кв.м</t>
  </si>
  <si>
    <t>уд.</t>
  </si>
  <si>
    <t>Итого по Муниципальному району</t>
  </si>
  <si>
    <t>Уровень обеспеченности (на 100 жителей)</t>
  </si>
  <si>
    <t>Таблица 5</t>
  </si>
  <si>
    <t xml:space="preserve">Характеристика наличия и состояния объектов социальной сферы 
в сельских поселениях Муниципального района  по состоянию на 01.01.2013 г
</t>
  </si>
  <si>
    <t>Наименование объекта в сельском поселении</t>
  </si>
  <si>
    <t>отопление</t>
  </si>
  <si>
    <t>Канализация</t>
  </si>
  <si>
    <t>От центральной котельной</t>
  </si>
  <si>
    <t>От собственного источника (газ)</t>
  </si>
  <si>
    <t>От центрального водопровода</t>
  </si>
  <si>
    <t>От собственного источника</t>
  </si>
  <si>
    <t>Обеспеченность коммунальными услугами</t>
  </si>
  <si>
    <t>Таблица 6</t>
  </si>
  <si>
    <t xml:space="preserve">Показатели  обеспеченности коммунальными услугами объектов 
социальной сферы в Покровском районе на 01.01. 2013 г. 
</t>
  </si>
  <si>
    <t>Наименование сельских поселений Муниципального района</t>
  </si>
  <si>
    <t>Распределительные газопроводы (км)</t>
  </si>
  <si>
    <t>Межпоселковые газопроводы  (км)</t>
  </si>
  <si>
    <t>Кол-во домов (квартир), подключенных к сетевому газоснабжению</t>
  </si>
  <si>
    <t>Кол-во объектов социальной сферы, подключенных к сетевому газоснабжению</t>
  </si>
  <si>
    <t>Год ввода</t>
  </si>
  <si>
    <t>Износ (%)</t>
  </si>
  <si>
    <t>Кол-во (ед)</t>
  </si>
  <si>
    <t xml:space="preserve">Характеристика действующей системы газоснабжения  
в сельских поселениях Муниципального района по состоянию на 01.01.2013г.    
</t>
  </si>
  <si>
    <t>Таблица 7</t>
  </si>
  <si>
    <t>Насосные станции (ед.)</t>
  </si>
  <si>
    <t>Артезианские скважины (ед.)</t>
  </si>
  <si>
    <t>Водонапорные башни (ед.)</t>
  </si>
  <si>
    <t>Получают воду от центрального водопровода</t>
  </si>
  <si>
    <t>Количество</t>
  </si>
  <si>
    <t>Человек</t>
  </si>
  <si>
    <t>% к общему числу жителей</t>
  </si>
  <si>
    <t>Напорный водовод (км)</t>
  </si>
  <si>
    <t>Водопроводы (км)</t>
  </si>
  <si>
    <t>Уличные колонки (ед.)</t>
  </si>
  <si>
    <t>Характеристика действующей системы водоснабжения в сельских поселениях Муниципального района на 01.01.2013г.</t>
  </si>
  <si>
    <t>Таблица 8</t>
  </si>
  <si>
    <t>Наименование</t>
  </si>
  <si>
    <t>Един. измер.</t>
  </si>
  <si>
    <t>2013 (базовый)</t>
  </si>
  <si>
    <t>Прогноз по годам реализации Программы</t>
  </si>
  <si>
    <t>Отношение 2020 г. к 2013 г.</t>
  </si>
  <si>
    <t>Демографические показатели в Муниципальном районе</t>
  </si>
  <si>
    <t>Численность сельского населения</t>
  </si>
  <si>
    <t>тыс. чел.</t>
  </si>
  <si>
    <t>Численность сельского населения в трудоспособном возрасте</t>
  </si>
  <si>
    <t>Коэффициент рождаемости сельского населения (число родившихся на 100 сельских жителей)</t>
  </si>
  <si>
    <t>Коэффициент смертности сельского населения (число умерших на 100 сельских жителей)</t>
  </si>
  <si>
    <t>Создание комфортных условий жизнедеятельности в Муниципальном районе</t>
  </si>
  <si>
    <t>Улучшение жилищных условий в сельских поселениях Муниципального района</t>
  </si>
  <si>
    <t>Количество сельских семей, признанных нуждающимися в улучшении жилищных условий  (на конец года) – всего</t>
  </si>
  <si>
    <t>в том числе молодых семей и молодых специалистов</t>
  </si>
  <si>
    <t>Ввод (приобретение) жилья для граждан, проживающих в сельских поселениях - всего</t>
  </si>
  <si>
    <t>тыс.кв.м</t>
  </si>
  <si>
    <t>в 2,5 р.</t>
  </si>
  <si>
    <t>в том числе для молодых семей и молодых специалистов</t>
  </si>
  <si>
    <t>в 4,8 р.</t>
  </si>
  <si>
    <t>Количество сельских семей, улучшивших жилищные условия - всего</t>
  </si>
  <si>
    <t>в 4,5 р.</t>
  </si>
  <si>
    <t>в 6,0 р.</t>
  </si>
  <si>
    <t>Обеспеченность общеобразовательными учреждениями в сельских поселениях Муниципального района</t>
  </si>
  <si>
    <t>Численность учащихся в сельских общеобразовательных учреждениях</t>
  </si>
  <si>
    <t>Численность учащихся в первую смену в  сельских общеобразовательных учреждениях</t>
  </si>
  <si>
    <t>2.2..3</t>
  </si>
  <si>
    <t>Численность учащихся в сельских общеобразовательных учреждениях, находящихся в ветхом и аварийном состоянии</t>
  </si>
  <si>
    <t>Ввод в действие  сельских общеобразовательных учреждений</t>
  </si>
  <si>
    <t>мест</t>
  </si>
  <si>
    <t>Обеспеченность учреждениями первичной медико-санитарной помощи в сельских поселениях Муниципального района</t>
  </si>
  <si>
    <t>Наличие ФАПов в сельских поселениях</t>
  </si>
  <si>
    <t>в том числе находящихся в ветхом и аварийном состоянии</t>
  </si>
  <si>
    <t>Наличие офисов врача общей практики в сельских поселениях</t>
  </si>
  <si>
    <t>Ввод в действие ФАПов в сельских поселениях</t>
  </si>
  <si>
    <t>Ввод в действие офисов врача общей практики в сельских поселениях</t>
  </si>
  <si>
    <t>Прирост сельского населения, обеспеченного ФАПами</t>
  </si>
  <si>
    <t>Прирост сельского населения, обеспеченного офисами врача общей практики</t>
  </si>
  <si>
    <t>Обеспеченность плоскостными спортивными сооружениями в сельских поселениях Муниципального района</t>
  </si>
  <si>
    <t>Наличие плоскостных спортивных сооружений в сельских поселениях</t>
  </si>
  <si>
    <t>кв.м</t>
  </si>
  <si>
    <t>Ввод в действие плоскостных спортивных сооружений в сельских поселениях</t>
  </si>
  <si>
    <t>Прирост сельского населения, обеспеченного плоскостными спортивными сооружениями</t>
  </si>
  <si>
    <t>Обеспеченность учреждениями культурно-досугового типа сельских поселений Муниципального района</t>
  </si>
  <si>
    <t>Наличие учреждений культурно-досугового типа в сельских поселениях</t>
  </si>
  <si>
    <t>в том числе  находящихся в ветхом и аварийном состоянии</t>
  </si>
  <si>
    <t>Ввод в действие учреждений культурно-досугового типа в сельских поселениях</t>
  </si>
  <si>
    <t>Прирост сельского населения, обеспеченного учреждениями культурно-досугового типа</t>
  </si>
  <si>
    <t>Газоснабжение сельских поселений Муниципального района</t>
  </si>
  <si>
    <t>Ввод в действие распределительных газовых сетей в сельских поселениях</t>
  </si>
  <si>
    <t>км</t>
  </si>
  <si>
    <t>Уровень износа объектов газоснабжения</t>
  </si>
  <si>
    <t>Уровень газификации жилищного фонда сельских поселений Муниципального района</t>
  </si>
  <si>
    <t>Водоснабжение в сельских поселениях Муниципального района</t>
  </si>
  <si>
    <t>Строительство локальных водопроводов в сельских поселениях Муниципального района</t>
  </si>
  <si>
    <t>Уровень износа объектов водоснабжения</t>
  </si>
  <si>
    <t>Уровень обеспечения населения питьевой водой в сельских поселениях</t>
  </si>
  <si>
    <t>Реализация проектов комплексного обустройства площадок под компактную жилищную застройку</t>
  </si>
  <si>
    <t>Количество населенных пунктов, в которых реализованы проекты комплексного обустройства</t>
  </si>
  <si>
    <t xml:space="preserve">  ед.</t>
  </si>
  <si>
    <t>Объем жилищной застройки</t>
  </si>
  <si>
    <t>Реализация проектов местных инициатив граждан, проживающих в сельских поселениях Муниципального района</t>
  </si>
  <si>
    <t>Количество реализованных проектов местных инициатив</t>
  </si>
  <si>
    <t>Число жителей, принявших участие в реализации проектов местных инициатив</t>
  </si>
  <si>
    <t>Проведение мероприятий по поощрению и популяризации достижений в развитии сельских территорий Муниципального района</t>
  </si>
  <si>
    <t>Количество проведенных мероприятий</t>
  </si>
  <si>
    <t>Создание рабочих мест в сельских поселениях Муниципального района</t>
  </si>
  <si>
    <t>Количество созданных рабочих мест</t>
  </si>
  <si>
    <t>2.1</t>
  </si>
  <si>
    <t>2.1.1</t>
  </si>
  <si>
    <t>2.1.2</t>
  </si>
  <si>
    <t>2.1.3</t>
  </si>
  <si>
    <t>Целевые индикаторы и  показатели  Программы</t>
  </si>
  <si>
    <t>Таблица 9</t>
  </si>
  <si>
    <t>2.2</t>
  </si>
  <si>
    <t>2.2.1</t>
  </si>
  <si>
    <t>2.2.2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</si>
  <si>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</si>
  <si>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</si>
  <si>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</si>
  <si>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</si>
  <si>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</si>
  <si>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</si>
  <si>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</si>
  <si>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</si>
  <si>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</si>
  <si>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</si>
  <si>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</si>
  <si>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</si>
  <si>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</si>
  <si>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</si>
  <si>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</si>
  <si>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</si>
  <si>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</si>
  <si>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</si>
  <si>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</si>
  <si>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</si>
  <si>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2.7</t>
  </si>
  <si>
    <t>2.7.1</t>
  </si>
  <si>
    <t>2.7.2</t>
  </si>
  <si>
    <t>2.7.3</t>
  </si>
  <si>
    <t>3.1</t>
  </si>
  <si>
    <t>3.2</t>
  </si>
  <si>
    <t>4.1</t>
  </si>
  <si>
    <t>4.2</t>
  </si>
  <si>
    <t>5.1</t>
  </si>
  <si>
    <t>6.1</t>
  </si>
  <si>
    <t>Един.</t>
  </si>
  <si>
    <t>измер.</t>
  </si>
  <si>
    <t>В том числе по годам реализации Программы</t>
  </si>
  <si>
    <t xml:space="preserve">Потребность в молодых специалистах сельскохозяйственного производства  - всего, </t>
  </si>
  <si>
    <t>в том числе:</t>
  </si>
  <si>
    <t>Потребность в молодых специалистах в сфере образования  - всего,</t>
  </si>
  <si>
    <t>Муниципальная Топковская ООШ</t>
  </si>
  <si>
    <t>Потребность в молодых специалистах в сфере здравоохранения - всего,</t>
  </si>
  <si>
    <t>в том числе</t>
  </si>
  <si>
    <t>Потребность в молодых специалистах в сфере  культуры – всего,</t>
  </si>
  <si>
    <t>Наименование учреждения культурно-досугового типа</t>
  </si>
  <si>
    <t>5.</t>
  </si>
  <si>
    <t>Потребность в молодых специалистах в сфере физической культуры и спорта– всего,</t>
  </si>
  <si>
    <t>МБОУ «Центр ДОД «Энергия»»</t>
  </si>
  <si>
    <t>3.3</t>
  </si>
  <si>
    <t>Прогноз потребности в молодых специалистах для организаций АПК и социальной сферы, функционирующих на территории сельских поселений Муниципального района в период реализации Программы</t>
  </si>
  <si>
    <t>Таблица 10</t>
  </si>
  <si>
    <t>Строительство (приобретение) жилья  для жителей сельских поселений Муниципального района –  всего</t>
  </si>
  <si>
    <t>в том числе в разрезе сельских поселений:</t>
  </si>
  <si>
    <t>домов</t>
  </si>
  <si>
    <t>млн. руб.</t>
  </si>
  <si>
    <t>Строительство (приобретение) жилых помещений в сельских поселениях Муниципального района для обеспечения жильем молодых семей  и  молодых специалистов– всего</t>
  </si>
  <si>
    <t xml:space="preserve">Реализация мероприятий по обеспечению жильем граждан, проживающих в сельских поселениях Муниципального района, в том числе молодых семей и молодых специалистов </t>
  </si>
  <si>
    <t>Таблица 11</t>
  </si>
  <si>
    <t>1.6</t>
  </si>
  <si>
    <t>1.7</t>
  </si>
  <si>
    <t>1.8</t>
  </si>
  <si>
    <t>1.9</t>
  </si>
  <si>
    <t>1.10</t>
  </si>
  <si>
    <t>1.11</t>
  </si>
  <si>
    <t>1.12</t>
  </si>
  <si>
    <t>2.8</t>
  </si>
  <si>
    <t>Строительство общеобразовательных учреждений – всего</t>
  </si>
  <si>
    <t>единиц</t>
  </si>
  <si>
    <t>уч. мест</t>
  </si>
  <si>
    <t>Строительство фельдшерско-акушерских пунктов и офисов врача  общей практики– всего,</t>
  </si>
  <si>
    <t>Строительство (реконструкция) учреждений культурно-досугового типа– всего</t>
  </si>
  <si>
    <t>пос. мест</t>
  </si>
  <si>
    <t xml:space="preserve">Верхнежерновское </t>
  </si>
  <si>
    <t>Строительство плоскостных спортивных сооружений  – всего</t>
  </si>
  <si>
    <t>в том числе  в разрезе сельских поселений:</t>
  </si>
  <si>
    <t xml:space="preserve">Реализация мероприятий по обеспечению объектами социальной инфраструктуры на территории сельских поселений Муниципального района </t>
  </si>
  <si>
    <t>Таблица 12</t>
  </si>
  <si>
    <t>3.4</t>
  </si>
  <si>
    <t>Строительство распределительных газопроводов - всего,</t>
  </si>
  <si>
    <t>Строительство локальных сетей водоснабжения -всего</t>
  </si>
  <si>
    <t>- строительство водозаборов (артезианских скважин)</t>
  </si>
  <si>
    <t>млн.руб</t>
  </si>
  <si>
    <t>- строительство водоводов</t>
  </si>
  <si>
    <t>- строительство водонапорных установок (водонапорных башен)</t>
  </si>
  <si>
    <t>- строительство распределительного водопровода</t>
  </si>
  <si>
    <t>В том числе в разрезе сельских поселений:</t>
  </si>
  <si>
    <t>- строительство артезианских скважин</t>
  </si>
  <si>
    <t>- строительство водонапорных башен</t>
  </si>
  <si>
    <t>Наименование проектов</t>
  </si>
  <si>
    <t xml:space="preserve">Изготовление проектно-сметной документации </t>
  </si>
  <si>
    <t xml:space="preserve">Строительство подъездных дорог </t>
  </si>
  <si>
    <t>Строительство объектов электроснабжения и уличного освещения - всего</t>
  </si>
  <si>
    <t>ТП 10/04 кВ мощностью 2х400 кВА</t>
  </si>
  <si>
    <t>млн.руб.</t>
  </si>
  <si>
    <t>ВЛ-10 кВ</t>
  </si>
  <si>
    <t>ВЛ-0,4 кВ</t>
  </si>
  <si>
    <t>Линия уличного освещения</t>
  </si>
  <si>
    <t>Строительство  объектов газоснабжения - всего</t>
  </si>
  <si>
    <t>Строительство  газопровода среднего давления</t>
  </si>
  <si>
    <t>Строительство газораспределительных пунктов</t>
  </si>
  <si>
    <t>Строительство  газопровода низкого давления</t>
  </si>
  <si>
    <t>Строительство объектов водоснабжения - всего</t>
  </si>
  <si>
    <t>Строительство водозаборов (артезианских скважин)</t>
  </si>
  <si>
    <t>Строительство водонапорных установок (водонапорных башен)</t>
  </si>
  <si>
    <t>Строительство  водопровода</t>
  </si>
  <si>
    <t>Строительство объектов социальной сферы и благоустройства- всего</t>
  </si>
  <si>
    <t>Строительство (реконструкция) общеобразовательной школы</t>
  </si>
  <si>
    <t>Строительство (реконструкция) детского сада</t>
  </si>
  <si>
    <t>Строительство (реконструкция) амбулатории, ФАПа (офиса врача общей практики)</t>
  </si>
  <si>
    <t>Строительство (реконструкция) учреждения культурно-досугового типа</t>
  </si>
  <si>
    <t>Строительство (реконструкция) спортивного сооружения</t>
  </si>
  <si>
    <t>Строительство (реконструкция) уличных дорог и тротуаров</t>
  </si>
  <si>
    <t>Озеленение улиц и площадей</t>
  </si>
  <si>
    <t>Наименование проекта и численность вовлеченного в его реализацию населения</t>
  </si>
  <si>
    <t>Мероприятия по проведению Дня Покровского района</t>
  </si>
  <si>
    <t>Мероприятия, посвященные Дню работника сельского хозяйства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</si>
  <si>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</si>
  <si>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</si>
  <si>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</si>
  <si>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</si>
  <si>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</si>
  <si>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</si>
  <si>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</si>
  <si>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</si>
  <si>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</si>
  <si>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>Итого по всем мероприятиям Программы</t>
  </si>
  <si>
    <t>Таблица 13</t>
  </si>
  <si>
    <t xml:space="preserve">Реализация мероприятий по обеспечению объектами инженерной инфраструктуры на территории сельских поселений Муниципального района </t>
  </si>
  <si>
    <t>2.1.4</t>
  </si>
  <si>
    <t>2.1.5</t>
  </si>
  <si>
    <t>1.3.1</t>
  </si>
  <si>
    <t>1.3.2</t>
  </si>
  <si>
    <t>1.3.3</t>
  </si>
  <si>
    <t>1.3.4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</si>
  <si>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</si>
  <si>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</si>
  <si>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</si>
  <si>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</si>
  <si>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</si>
  <si>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</si>
  <si>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</si>
  <si>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</si>
  <si>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</si>
  <si>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1.6.4</t>
  </si>
  <si>
    <t>1.6.5</t>
  </si>
  <si>
    <t>1.6.6</t>
  </si>
  <si>
    <t>1.6.7</t>
  </si>
  <si>
    <t>Таблица 14</t>
  </si>
  <si>
    <t xml:space="preserve">Реализация проектов комплексного обустройства площадок под компактную жилищную застройку в сельских поселениях                                                                               Муниципального района </t>
  </si>
  <si>
    <t>Таблица 15</t>
  </si>
  <si>
    <t xml:space="preserve">Реализация проектов местных инициатив граждан, проживающих на территории сельских 
поселений Муниципального района 
</t>
  </si>
  <si>
    <t>Таблица 16</t>
  </si>
  <si>
    <t xml:space="preserve">Реализация проектов (мероприятий) по поощрению и популяризации достижений в развитии сельских поселений Муниципального района </t>
  </si>
  <si>
    <t xml:space="preserve"> № п/п</t>
  </si>
  <si>
    <t>Наименование мероприятия Программы</t>
  </si>
  <si>
    <t>Объем финансирования – всего, в том числе за счет средств:</t>
  </si>
  <si>
    <t>Строительство общеобразовательных учреждений – всего                                                                                    в том числе в разрезе сельских поселений:</t>
  </si>
  <si>
    <t>Строительство фельдшерско-акушерских пунктов и офисов врача общей практики– всего,                                                                                  в том числе в разрезе сельских поселений:</t>
  </si>
  <si>
    <t>Строительство плоскостных спортивных сооружений– всего                                                                       в том числе по населенным пунктам:</t>
  </si>
  <si>
    <t>Реализации проектов местных инициатив граждан, проживающих на территории сельских поселений Муниципального района- всего,                                                                                          в том числе в разрезе сельских поселений:</t>
  </si>
  <si>
    <t>Реализации проектов (мероприятий) по поощрению и популяризации достижений в развитии сельских поселений Муниципального района,                                в том числе по проектам:</t>
  </si>
  <si>
    <t>Таблица 17</t>
  </si>
  <si>
    <t xml:space="preserve">Объемы и источники финансирования мероприятий Программы 
в 2014-2020 годах
</t>
  </si>
  <si>
    <t xml:space="preserve">  тыс.  кв.м</t>
  </si>
  <si>
    <t>2.1.6</t>
  </si>
  <si>
    <t>2.1.7</t>
  </si>
  <si>
    <t>2.1.8</t>
  </si>
  <si>
    <t>2.1.9</t>
  </si>
  <si>
    <t>Реализация проекта комплексного обустройства площадки под компактную жилищную застройку в  Даниловском сельском поселении – всего,</t>
  </si>
  <si>
    <t>Реализация проекта комплексного обустройства площадки под компактную жилищную застройку в  Дросковском сельском поселении – всего,</t>
  </si>
  <si>
    <t>Реализация проекта комплексного обустройства площадки под компактную жилищную застройку в  Ретинском сельском поселении – всего,</t>
  </si>
  <si>
    <t>2.6.4</t>
  </si>
  <si>
    <t>2.6.5</t>
  </si>
  <si>
    <t>2.6.6</t>
  </si>
  <si>
    <t>2.6.7</t>
  </si>
  <si>
    <t>3.3.1</t>
  </si>
  <si>
    <t>3.3.2</t>
  </si>
  <si>
    <t>3.3.3</t>
  </si>
  <si>
    <t>3.3.4</t>
  </si>
  <si>
    <t>3.4.1</t>
  </si>
  <si>
    <t>3.4.2</t>
  </si>
  <si>
    <t>3.4.3</t>
  </si>
  <si>
    <t>3.5</t>
  </si>
  <si>
    <t>3.5.1</t>
  </si>
  <si>
    <t>3.5.2</t>
  </si>
  <si>
    <t>3.5.3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</si>
  <si>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</si>
  <si>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</si>
  <si>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</si>
  <si>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</si>
  <si>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</si>
  <si>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</si>
  <si>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</si>
  <si>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</si>
  <si>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том числе в разрезе сельских поселений:</t>
  </si>
  <si>
    <t xml:space="preserve">Строительство (приобретение) жилья для граждан, проживающих в сельских поселениях Муниципального района,– всего                                                                                        </t>
  </si>
  <si>
    <t xml:space="preserve">Строительство (приобретение) жилья  в сельских поселениях Муниципального района для молодых семей и молодых специалистов– всего                                               </t>
  </si>
  <si>
    <t xml:space="preserve">  в том числе в разрезе сельских поселений:</t>
  </si>
  <si>
    <t>5.2</t>
  </si>
  <si>
    <t>5.3</t>
  </si>
  <si>
    <t>5.4</t>
  </si>
  <si>
    <t xml:space="preserve">Строительство распределительных сетей газопровода - всего,                                                                               </t>
  </si>
  <si>
    <t>7.1</t>
  </si>
  <si>
    <t>7.2</t>
  </si>
  <si>
    <t>7.3</t>
  </si>
  <si>
    <t>7.4</t>
  </si>
  <si>
    <t>7.5</t>
  </si>
  <si>
    <t>7.6</t>
  </si>
  <si>
    <t>7.7</t>
  </si>
  <si>
    <t>7.8</t>
  </si>
  <si>
    <t xml:space="preserve">Строительство локальных сетей водоснабжения – всего,                                                                                                     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</si>
  <si>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</si>
  <si>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</si>
  <si>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</si>
  <si>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</si>
  <si>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</si>
  <si>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</si>
  <si>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</si>
  <si>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</si>
  <si>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</si>
  <si>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</si>
  <si>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2.1.10</t>
  </si>
  <si>
    <t xml:space="preserve">Реализация проектов комплексного  обустройства площадок под компактную жилищную застройку  – всего,                                                                                         </t>
  </si>
  <si>
    <t>1.1.</t>
  </si>
  <si>
    <t>5</t>
  </si>
  <si>
    <t>6</t>
  </si>
  <si>
    <t>7</t>
  </si>
  <si>
    <t>8</t>
  </si>
  <si>
    <t>9</t>
  </si>
  <si>
    <t>10</t>
  </si>
  <si>
    <t>13</t>
  </si>
  <si>
    <t>12</t>
  </si>
  <si>
    <t xml:space="preserve"> -</t>
  </si>
  <si>
    <t>МБОУ "Березовская СОШ"</t>
  </si>
  <si>
    <t>Березовский ФАП</t>
  </si>
  <si>
    <t>Гремяченский  ФАП</t>
  </si>
  <si>
    <t>Березовский  СДК</t>
  </si>
  <si>
    <t>Гремяченский СК</t>
  </si>
  <si>
    <t>МБОУ "В-Жерновская ООШ"</t>
  </si>
  <si>
    <t>МБОУ "Вепринецкая ООШ"</t>
  </si>
  <si>
    <t>Верхнежерновский  ФАП</t>
  </si>
  <si>
    <t>Вепринецкий ФАП</t>
  </si>
  <si>
    <t>Верхнежерновский  СДК</t>
  </si>
  <si>
    <t>Вепринецкий СДК</t>
  </si>
  <si>
    <t>МБОУ "Верхососенская  ООШ"</t>
  </si>
  <si>
    <t>Верхососенский ФАП</t>
  </si>
  <si>
    <t>Верхососенский СК</t>
  </si>
  <si>
    <t>МБОУ "Федоровская СОШ"</t>
  </si>
  <si>
    <t>Федоровская амбулатория</t>
  </si>
  <si>
    <t>4.3</t>
  </si>
  <si>
    <t>Владимировский СК</t>
  </si>
  <si>
    <t>МБОУ "Трудкинская СОШ"</t>
  </si>
  <si>
    <t>Вышнетуровецкий  ФАП</t>
  </si>
  <si>
    <t>Вышнетуровецкий СК</t>
  </si>
  <si>
    <t>МБДОУ "Даниловский детский сад"</t>
  </si>
  <si>
    <t>6.2</t>
  </si>
  <si>
    <t>МБОУ Даниловская ООШ"</t>
  </si>
  <si>
    <t>6.3</t>
  </si>
  <si>
    <t>Даниловский ФАП</t>
  </si>
  <si>
    <t>6.4</t>
  </si>
  <si>
    <t>Одинцовский ФАП</t>
  </si>
  <si>
    <t>6.5</t>
  </si>
  <si>
    <t>Одинцовский СДК</t>
  </si>
  <si>
    <t>6.6</t>
  </si>
  <si>
    <t>Даниловский СДК</t>
  </si>
  <si>
    <t>6.7</t>
  </si>
  <si>
    <t>Вязовской ФАП</t>
  </si>
  <si>
    <t>МБДОУ "Дросковский  детский сад"</t>
  </si>
  <si>
    <t>7.2.</t>
  </si>
  <si>
    <t>МБОУ "Дросковская СОШ"</t>
  </si>
  <si>
    <t>МБОУ "Внуковская ООШ"</t>
  </si>
  <si>
    <t>МОУДОД "Дом детского творчества"</t>
  </si>
  <si>
    <t>Дросковский СДК</t>
  </si>
  <si>
    <t>Сетенёвский СДК</t>
  </si>
  <si>
    <t>Внуковский КСК</t>
  </si>
  <si>
    <t>Дросковская амбулатория</t>
  </si>
  <si>
    <t>7.9</t>
  </si>
  <si>
    <t>Внуковский ФАП</t>
  </si>
  <si>
    <t>7.10</t>
  </si>
  <si>
    <t>Сетеневский ФАП</t>
  </si>
  <si>
    <t>МБОУ "Успенская ООШ"</t>
  </si>
  <si>
    <t>МБОУ "Протасовская ООШ"</t>
  </si>
  <si>
    <t>Журавецкая амбулатория</t>
  </si>
  <si>
    <t>Протасовский ФАП</t>
  </si>
  <si>
    <t>Успенский СДК</t>
  </si>
  <si>
    <t>Протасовский СДК</t>
  </si>
  <si>
    <t>9.1</t>
  </si>
  <si>
    <t>МБОУ "Грачевская ООШ"</t>
  </si>
  <si>
    <t>9.2</t>
  </si>
  <si>
    <t>Грачевский ФАП</t>
  </si>
  <si>
    <t>9.3</t>
  </si>
  <si>
    <t>Ивановский ФАП</t>
  </si>
  <si>
    <t>9.4</t>
  </si>
  <si>
    <t>Ивановский СДК</t>
  </si>
  <si>
    <t>9.5</t>
  </si>
  <si>
    <t>Грачевский СДК</t>
  </si>
  <si>
    <t>10.1</t>
  </si>
  <si>
    <t>МБОУ "Моховская СОШ"</t>
  </si>
  <si>
    <t>10.2</t>
  </si>
  <si>
    <t>Александровский  ФАП</t>
  </si>
  <si>
    <t>10.3</t>
  </si>
  <si>
    <t>Моховской СД</t>
  </si>
  <si>
    <t>10.4</t>
  </si>
  <si>
    <t>Озерновский СК</t>
  </si>
  <si>
    <t>МБОУ "Перехоженская ООШ"</t>
  </si>
  <si>
    <t>Липовецкий ФАП</t>
  </si>
  <si>
    <t>Ретинский ФАП</t>
  </si>
  <si>
    <t>Липовецкий СДК</t>
  </si>
  <si>
    <t>Ретинский  СК</t>
  </si>
  <si>
    <t>МБОУ "Тимирязевская ООШ"</t>
  </si>
  <si>
    <t>МБОУ " Алексеевская ООШ"</t>
  </si>
  <si>
    <t>Алексеевский ФАП</t>
  </si>
  <si>
    <t>Столбецкий ФАП</t>
  </si>
  <si>
    <t>Тимирязевский ФАП</t>
  </si>
  <si>
    <t>Тимирязевский СДК</t>
  </si>
  <si>
    <t>Столбецкий СДК</t>
  </si>
  <si>
    <t>Алексеевский СК</t>
  </si>
  <si>
    <t>МБОУ "Никольская ООШ"</t>
  </si>
  <si>
    <t>МБОУ "Топковская ООШ"</t>
  </si>
  <si>
    <t>Топковский ФАП</t>
  </si>
  <si>
    <t>Никольский ФАП</t>
  </si>
  <si>
    <t>Смирновский ФАП</t>
  </si>
  <si>
    <t>Топковский СДК</t>
  </si>
  <si>
    <t>Никольский СДК</t>
  </si>
  <si>
    <t>1995-2008</t>
  </si>
  <si>
    <t>1999-2006</t>
  </si>
  <si>
    <t>1995-2009</t>
  </si>
  <si>
    <t>1997-2009</t>
  </si>
  <si>
    <t>2006-2008</t>
  </si>
  <si>
    <t>1998-2002</t>
  </si>
  <si>
    <t>1998-2007</t>
  </si>
  <si>
    <t>1999-2013</t>
  </si>
  <si>
    <t>1966-1979</t>
  </si>
  <si>
    <t>1969- 1975</t>
  </si>
  <si>
    <t>85-70</t>
  </si>
  <si>
    <t>1965-1997</t>
  </si>
  <si>
    <t>1972- 1984</t>
  </si>
  <si>
    <t>80-83</t>
  </si>
  <si>
    <t>72-79</t>
  </si>
  <si>
    <t>1979, 2012</t>
  </si>
  <si>
    <t>70, 0</t>
  </si>
  <si>
    <t>да</t>
  </si>
  <si>
    <t>БУЗ ОО "Покровская ЦРБ"</t>
  </si>
  <si>
    <t>в 4 р.</t>
  </si>
  <si>
    <t xml:space="preserve">Строительство (реконструкция) учреждений культурно-досугового типах– всего                                                                               </t>
  </si>
  <si>
    <t>11.1</t>
  </si>
  <si>
    <t>11.2</t>
  </si>
  <si>
    <t>Благоустройство воинских захоронений, братских могил.</t>
  </si>
  <si>
    <t xml:space="preserve">Благоустройство воинских захоронений, братских могил. </t>
  </si>
  <si>
    <t>2.9</t>
  </si>
  <si>
    <t>Организация и проведение конкурса "Лучший по профессии"</t>
  </si>
  <si>
    <t>11.3</t>
  </si>
  <si>
    <t>Организация и проведение районного туристического слета</t>
  </si>
  <si>
    <t>11.4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</si>
</sst>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_ ;\-#,##0.00\ "/>
    <numFmt numFmtId="178" formatCode="#,##0.0_ ;\-#,##0.0\ "/>
    <numFmt numFmtId="179" formatCode="#,##0_ ;\-#,##0\ "/>
    <numFmt numFmtId="180" formatCode="#,##0.00_р_."/>
    <numFmt numFmtId="181" formatCode="#,##0_р_."/>
    <numFmt numFmtId="182" formatCode="#,##0.0_р_."/>
    <numFmt numFmtId="183" formatCode="#,##0.000_р_.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-* #,##0.0&quot;р.&quot;_-;\-* #,##0.0&quot;р.&quot;_-;_-* &quot;-&quot;??&quot;р.&quot;_-;_-@_-"/>
    <numFmt numFmtId="193" formatCode="[$-FC19]d\ mmmm\ yyyy\ &quot;г.&quot;"/>
    <numFmt numFmtId="194" formatCode="#,##0.0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_-* #,##0.000_р_._-;\-* #,##0.000_р_._-;_-* &quot;-&quot;???_р_._-;_-@_-"/>
    <numFmt numFmtId="198" formatCode="#,##0.000"/>
    <numFmt numFmtId="199" formatCode="#,##0.0000"/>
    <numFmt numFmtId="200" formatCode="_-* #,##0.000_р_._-;\-* #,##0.000_р_._-;_-* &quot;-&quot;??_р_._-;_-@_-"/>
    <numFmt numFmtId="201" formatCode="_-* #,##0.0_р_._-;\-* #,##0.0_р_._-;_-* &quot;-&quot;??_р_._-;_-@_-"/>
    <numFmt numFmtId="202" formatCode="0.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85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Times New Roman CYR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7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sz val="6"/>
      <name val="Arial Cyr"/>
      <family val="2"/>
    </font>
    <font>
      <i/>
      <sz val="7"/>
      <name val="Arial Cyr"/>
      <family val="2"/>
    </font>
    <font>
      <b/>
      <sz val="6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7.5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172" fontId="11" fillId="37" borderId="10" xfId="0" applyNumberFormat="1" applyFont="1" applyFill="1" applyBorder="1" applyAlignment="1">
      <alignment horizontal="center" vertical="center" wrapText="1"/>
    </xf>
    <xf numFmtId="172" fontId="15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172" fontId="16" fillId="36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2" fillId="36" borderId="10" xfId="0" applyNumberFormat="1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/>
    </xf>
    <xf numFmtId="0" fontId="16" fillId="36" borderId="10" xfId="0" applyNumberFormat="1" applyFont="1" applyFill="1" applyBorder="1" applyAlignment="1">
      <alignment horizontal="center" vertical="center" wrapText="1"/>
    </xf>
    <xf numFmtId="172" fontId="16" fillId="36" borderId="10" xfId="0" applyNumberFormat="1" applyFont="1" applyFill="1" applyBorder="1" applyAlignment="1">
      <alignment horizontal="center" vertical="center" wrapText="1"/>
    </xf>
    <xf numFmtId="172" fontId="16" fillId="36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6" fontId="11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72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1" fontId="16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9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center" vertical="center"/>
    </xf>
    <xf numFmtId="172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1" fontId="16" fillId="36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/>
    </xf>
    <xf numFmtId="0" fontId="2" fillId="36" borderId="11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2" fillId="36" borderId="11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172" fontId="17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4" fillId="36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9" fillId="36" borderId="10" xfId="0" applyFont="1" applyFill="1" applyBorder="1" applyAlignment="1">
      <alignment horizontal="left" vertical="center"/>
    </xf>
    <xf numFmtId="172" fontId="20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7" fillId="35" borderId="10" xfId="0" applyFont="1" applyFill="1" applyBorder="1" applyAlignment="1">
      <alignment horizontal="center" vertical="center" wrapText="1"/>
    </xf>
    <xf numFmtId="172" fontId="17" fillId="35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16" fillId="36" borderId="12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center" vertical="center"/>
    </xf>
    <xf numFmtId="16" fontId="2" fillId="36" borderId="10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left" vertical="center" wrapText="1"/>
    </xf>
    <xf numFmtId="172" fontId="28" fillId="37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vertical="center" wrapText="1"/>
    </xf>
    <xf numFmtId="0" fontId="28" fillId="37" borderId="10" xfId="0" applyFont="1" applyFill="1" applyBorder="1" applyAlignment="1">
      <alignment horizontal="right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NumberFormat="1" applyFont="1" applyFill="1" applyBorder="1" applyAlignment="1">
      <alignment horizontal="left" vertical="center" wrapText="1"/>
    </xf>
    <xf numFmtId="0" fontId="28" fillId="35" borderId="10" xfId="0" applyNumberFormat="1" applyFont="1" applyFill="1" applyBorder="1" applyAlignment="1">
      <alignment horizontal="center" vertical="center"/>
    </xf>
    <xf numFmtId="172" fontId="32" fillId="35" borderId="10" xfId="0" applyNumberFormat="1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vertical="center" wrapText="1"/>
    </xf>
    <xf numFmtId="0" fontId="33" fillId="35" borderId="10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left" vertical="center" wrapText="1"/>
    </xf>
    <xf numFmtId="0" fontId="28" fillId="33" borderId="10" xfId="0" applyNumberFormat="1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/>
    </xf>
    <xf numFmtId="172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11" xfId="0" applyNumberFormat="1" applyFont="1" applyFill="1" applyBorder="1" applyAlignment="1">
      <alignment horizontal="left" vertical="center" wrapText="1"/>
    </xf>
    <xf numFmtId="0" fontId="32" fillId="36" borderId="10" xfId="0" applyNumberFormat="1" applyFont="1" applyFill="1" applyBorder="1" applyAlignment="1">
      <alignment horizontal="center" vertical="center"/>
    </xf>
    <xf numFmtId="1" fontId="33" fillId="36" borderId="10" xfId="0" applyNumberFormat="1" applyFont="1" applyFill="1" applyBorder="1" applyAlignment="1">
      <alignment horizontal="center" vertical="center"/>
    </xf>
    <xf numFmtId="172" fontId="33" fillId="36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9" fillId="36" borderId="11" xfId="0" applyNumberFormat="1" applyFont="1" applyFill="1" applyBorder="1" applyAlignment="1">
      <alignment horizontal="left" vertical="center"/>
    </xf>
    <xf numFmtId="0" fontId="33" fillId="36" borderId="10" xfId="0" applyNumberFormat="1" applyFont="1" applyFill="1" applyBorder="1" applyAlignment="1">
      <alignment horizontal="center" vertical="center"/>
    </xf>
    <xf numFmtId="0" fontId="29" fillId="36" borderId="10" xfId="0" applyNumberFormat="1" applyFont="1" applyFill="1" applyBorder="1" applyAlignment="1">
      <alignment horizontal="left" vertical="center"/>
    </xf>
    <xf numFmtId="0" fontId="29" fillId="36" borderId="10" xfId="0" applyNumberFormat="1" applyFont="1" applyFill="1" applyBorder="1" applyAlignment="1">
      <alignment horizontal="left" vertical="center" wrapText="1"/>
    </xf>
    <xf numFmtId="0" fontId="28" fillId="36" borderId="10" xfId="0" applyNumberFormat="1" applyFont="1" applyFill="1" applyBorder="1" applyAlignment="1">
      <alignment horizontal="left" vertical="center" wrapText="1"/>
    </xf>
    <xf numFmtId="1" fontId="33" fillId="36" borderId="10" xfId="0" applyNumberFormat="1" applyFont="1" applyFill="1" applyBorder="1" applyAlignment="1">
      <alignment horizontal="center" vertical="center" wrapText="1"/>
    </xf>
    <xf numFmtId="0" fontId="33" fillId="36" borderId="10" xfId="0" applyNumberFormat="1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16" fontId="2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16" fontId="28" fillId="37" borderId="10" xfId="0" applyNumberFormat="1" applyFont="1" applyFill="1" applyBorder="1" applyAlignment="1">
      <alignment horizontal="center" vertical="center"/>
    </xf>
    <xf numFmtId="0" fontId="28" fillId="37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3" fillId="36" borderId="10" xfId="0" applyNumberFormat="1" applyFont="1" applyFill="1" applyBorder="1" applyAlignment="1">
      <alignment horizontal="left" vertical="center" wrapText="1"/>
    </xf>
    <xf numFmtId="172" fontId="33" fillId="36" borderId="10" xfId="0" applyNumberFormat="1" applyFont="1" applyFill="1" applyBorder="1" applyAlignment="1">
      <alignment horizontal="center" vertical="center" wrapText="1"/>
    </xf>
    <xf numFmtId="172" fontId="29" fillId="36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29" fillId="36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36" borderId="10" xfId="0" applyFont="1" applyFill="1" applyBorder="1" applyAlignment="1">
      <alignment horizontal="left" vertical="center"/>
    </xf>
    <xf numFmtId="1" fontId="28" fillId="37" borderId="10" xfId="0" applyNumberFormat="1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72" fontId="29" fillId="0" borderId="0" xfId="0" applyNumberFormat="1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9" fontId="29" fillId="36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NumberFormat="1" applyFont="1" applyFill="1" applyBorder="1" applyAlignment="1">
      <alignment horizontal="center" vertical="center"/>
    </xf>
    <xf numFmtId="0" fontId="32" fillId="37" borderId="10" xfId="0" applyNumberFormat="1" applyFont="1" applyFill="1" applyBorder="1" applyAlignment="1">
      <alignment horizontal="center" vertical="center" wrapText="1"/>
    </xf>
    <xf numFmtId="172" fontId="32" fillId="37" borderId="10" xfId="0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49" fontId="33" fillId="36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center" vertical="top" wrapText="1"/>
    </xf>
    <xf numFmtId="49" fontId="36" fillId="0" borderId="16" xfId="0" applyNumberFormat="1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2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29" fillId="0" borderId="10" xfId="0" applyFont="1" applyBorder="1" applyAlignment="1">
      <alignment horizontal="justify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wrapText="1"/>
    </xf>
    <xf numFmtId="0" fontId="80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49" fontId="29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30" fillId="0" borderId="0" xfId="0" applyNumberFormat="1" applyFont="1" applyAlignment="1">
      <alignment wrapText="1"/>
    </xf>
    <xf numFmtId="0" fontId="33" fillId="0" borderId="10" xfId="0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9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28" fillId="0" borderId="10" xfId="0" applyFont="1" applyBorder="1" applyAlignment="1">
      <alignment/>
    </xf>
    <xf numFmtId="172" fontId="29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/>
    </xf>
    <xf numFmtId="172" fontId="28" fillId="0" borderId="10" xfId="0" applyNumberFormat="1" applyFont="1" applyBorder="1" applyAlignment="1">
      <alignment horizontal="right"/>
    </xf>
    <xf numFmtId="0" fontId="41" fillId="0" borderId="0" xfId="0" applyFont="1" applyAlignment="1">
      <alignment wrapText="1"/>
    </xf>
    <xf numFmtId="0" fontId="2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vertical="top" wrapText="1"/>
    </xf>
    <xf numFmtId="172" fontId="28" fillId="0" borderId="10" xfId="0" applyNumberFormat="1" applyFont="1" applyBorder="1" applyAlignment="1">
      <alignment horizontal="right" vertical="top" wrapText="1"/>
    </xf>
    <xf numFmtId="173" fontId="28" fillId="0" borderId="10" xfId="0" applyNumberFormat="1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1" fontId="39" fillId="0" borderId="10" xfId="0" applyNumberFormat="1" applyFont="1" applyBorder="1" applyAlignment="1">
      <alignment horizontal="right" vertical="top" wrapText="1"/>
    </xf>
    <xf numFmtId="172" fontId="39" fillId="0" borderId="10" xfId="0" applyNumberFormat="1" applyFont="1" applyBorder="1" applyAlignment="1">
      <alignment horizontal="right" vertical="top" wrapText="1"/>
    </xf>
    <xf numFmtId="1" fontId="40" fillId="0" borderId="10" xfId="0" applyNumberFormat="1" applyFont="1" applyBorder="1" applyAlignment="1">
      <alignment horizontal="right" vertical="top" wrapText="1"/>
    </xf>
    <xf numFmtId="172" fontId="40" fillId="0" borderId="10" xfId="0" applyNumberFormat="1" applyFont="1" applyBorder="1" applyAlignment="1">
      <alignment horizontal="right" vertical="top" wrapText="1"/>
    </xf>
    <xf numFmtId="9" fontId="81" fillId="0" borderId="10" xfId="0" applyNumberFormat="1" applyFont="1" applyBorder="1" applyAlignment="1">
      <alignment horizontal="right" vertical="top" wrapText="1"/>
    </xf>
    <xf numFmtId="0" fontId="82" fillId="0" borderId="10" xfId="0" applyFont="1" applyBorder="1" applyAlignment="1">
      <alignment horizontal="right" vertical="top" wrapText="1"/>
    </xf>
    <xf numFmtId="9" fontId="83" fillId="0" borderId="10" xfId="0" applyNumberFormat="1" applyFont="1" applyBorder="1" applyAlignment="1">
      <alignment horizontal="right" vertical="top" wrapText="1"/>
    </xf>
    <xf numFmtId="173" fontId="29" fillId="0" borderId="10" xfId="0" applyNumberFormat="1" applyFont="1" applyBorder="1" applyAlignment="1">
      <alignment horizontal="right" vertical="top" wrapText="1"/>
    </xf>
    <xf numFmtId="0" fontId="0" fillId="38" borderId="0" xfId="0" applyFont="1" applyFill="1" applyAlignment="1">
      <alignment/>
    </xf>
    <xf numFmtId="0" fontId="28" fillId="38" borderId="10" xfId="0" applyFont="1" applyFill="1" applyBorder="1" applyAlignment="1">
      <alignment horizontal="center" vertical="top" wrapText="1"/>
    </xf>
    <xf numFmtId="0" fontId="29" fillId="38" borderId="10" xfId="0" applyFont="1" applyFill="1" applyBorder="1" applyAlignment="1">
      <alignment horizontal="center"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16" fontId="28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0" fontId="29" fillId="38" borderId="10" xfId="0" applyFont="1" applyFill="1" applyBorder="1" applyAlignment="1">
      <alignment horizontal="right" vertical="top" wrapText="1"/>
    </xf>
    <xf numFmtId="172" fontId="29" fillId="38" borderId="10" xfId="0" applyNumberFormat="1" applyFont="1" applyFill="1" applyBorder="1" applyAlignment="1">
      <alignment horizontal="right" vertical="top" wrapText="1"/>
    </xf>
    <xf numFmtId="0" fontId="29" fillId="0" borderId="11" xfId="0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28" fillId="38" borderId="10" xfId="0" applyFont="1" applyFill="1" applyBorder="1" applyAlignment="1">
      <alignment horizontal="justify" vertical="top" wrapText="1"/>
    </xf>
    <xf numFmtId="0" fontId="28" fillId="38" borderId="10" xfId="0" applyFont="1" applyFill="1" applyBorder="1" applyAlignment="1">
      <alignment vertical="top" wrapText="1"/>
    </xf>
    <xf numFmtId="0" fontId="28" fillId="38" borderId="10" xfId="0" applyFont="1" applyFill="1" applyBorder="1" applyAlignment="1">
      <alignment horizontal="right" vertical="top" wrapText="1"/>
    </xf>
    <xf numFmtId="0" fontId="32" fillId="38" borderId="10" xfId="0" applyFont="1" applyFill="1" applyBorder="1" applyAlignment="1">
      <alignment vertical="top" wrapText="1"/>
    </xf>
    <xf numFmtId="0" fontId="32" fillId="38" borderId="10" xfId="0" applyFont="1" applyFill="1" applyBorder="1" applyAlignment="1">
      <alignment horizontal="right" vertical="top" wrapText="1"/>
    </xf>
    <xf numFmtId="0" fontId="29" fillId="38" borderId="10" xfId="0" applyFont="1" applyFill="1" applyBorder="1" applyAlignment="1">
      <alignment vertical="top" wrapText="1"/>
    </xf>
    <xf numFmtId="0" fontId="33" fillId="38" borderId="10" xfId="0" applyFont="1" applyFill="1" applyBorder="1" applyAlignment="1">
      <alignment vertical="top" wrapText="1"/>
    </xf>
    <xf numFmtId="173" fontId="33" fillId="38" borderId="10" xfId="0" applyNumberFormat="1" applyFont="1" applyFill="1" applyBorder="1" applyAlignment="1">
      <alignment horizontal="right" vertical="top" wrapText="1"/>
    </xf>
    <xf numFmtId="173" fontId="29" fillId="38" borderId="10" xfId="0" applyNumberFormat="1" applyFont="1" applyFill="1" applyBorder="1" applyAlignment="1">
      <alignment horizontal="right" vertical="top" wrapText="1"/>
    </xf>
    <xf numFmtId="173" fontId="28" fillId="38" borderId="10" xfId="0" applyNumberFormat="1" applyFont="1" applyFill="1" applyBorder="1" applyAlignment="1">
      <alignment horizontal="right" vertical="top" wrapText="1"/>
    </xf>
    <xf numFmtId="173" fontId="32" fillId="38" borderId="10" xfId="0" applyNumberFormat="1" applyFont="1" applyFill="1" applyBorder="1" applyAlignment="1">
      <alignment horizontal="right" vertical="top" wrapText="1"/>
    </xf>
    <xf numFmtId="1" fontId="28" fillId="38" borderId="10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173" fontId="28" fillId="38" borderId="10" xfId="0" applyNumberFormat="1" applyFont="1" applyFill="1" applyBorder="1" applyAlignment="1">
      <alignment vertical="top" wrapText="1"/>
    </xf>
    <xf numFmtId="173" fontId="32" fillId="38" borderId="10" xfId="0" applyNumberFormat="1" applyFont="1" applyFill="1" applyBorder="1" applyAlignment="1">
      <alignment vertical="top" wrapText="1"/>
    </xf>
    <xf numFmtId="0" fontId="28" fillId="38" borderId="11" xfId="0" applyFont="1" applyFill="1" applyBorder="1" applyAlignment="1">
      <alignment vertical="top" wrapText="1"/>
    </xf>
    <xf numFmtId="0" fontId="28" fillId="38" borderId="11" xfId="0" applyFont="1" applyFill="1" applyBorder="1" applyAlignment="1">
      <alignment horizontal="left" vertical="top" wrapText="1"/>
    </xf>
    <xf numFmtId="173" fontId="28" fillId="38" borderId="11" xfId="0" applyNumberFormat="1" applyFont="1" applyFill="1" applyBorder="1" applyAlignment="1">
      <alignment horizontal="right" vertical="top" wrapText="1"/>
    </xf>
    <xf numFmtId="175" fontId="32" fillId="38" borderId="10" xfId="0" applyNumberFormat="1" applyFont="1" applyFill="1" applyBorder="1" applyAlignment="1">
      <alignment horizontal="right" vertical="top" wrapText="1"/>
    </xf>
    <xf numFmtId="175" fontId="28" fillId="38" borderId="10" xfId="0" applyNumberFormat="1" applyFont="1" applyFill="1" applyBorder="1" applyAlignment="1">
      <alignment horizontal="right" vertical="top" wrapText="1"/>
    </xf>
    <xf numFmtId="49" fontId="29" fillId="38" borderId="10" xfId="0" applyNumberFormat="1" applyFont="1" applyFill="1" applyBorder="1" applyAlignment="1">
      <alignment vertical="top" wrapText="1"/>
    </xf>
    <xf numFmtId="175" fontId="33" fillId="38" borderId="10" xfId="0" applyNumberFormat="1" applyFont="1" applyFill="1" applyBorder="1" applyAlignment="1">
      <alignment horizontal="right" vertical="top" wrapText="1"/>
    </xf>
    <xf numFmtId="0" fontId="42" fillId="38" borderId="0" xfId="0" applyFont="1" applyFill="1" applyAlignment="1">
      <alignment/>
    </xf>
    <xf numFmtId="172" fontId="28" fillId="0" borderId="10" xfId="0" applyNumberFormat="1" applyFont="1" applyBorder="1" applyAlignment="1">
      <alignment horizontal="center" vertical="top" wrapText="1"/>
    </xf>
    <xf numFmtId="0" fontId="28" fillId="38" borderId="10" xfId="0" applyFont="1" applyFill="1" applyBorder="1" applyAlignment="1">
      <alignment vertical="top" wrapText="1"/>
    </xf>
    <xf numFmtId="172" fontId="29" fillId="38" borderId="10" xfId="0" applyNumberFormat="1" applyFont="1" applyFill="1" applyBorder="1" applyAlignment="1">
      <alignment vertical="top" wrapText="1"/>
    </xf>
    <xf numFmtId="2" fontId="28" fillId="38" borderId="10" xfId="0" applyNumberFormat="1" applyFont="1" applyFill="1" applyBorder="1" applyAlignment="1">
      <alignment horizontal="right" vertical="top" wrapText="1"/>
    </xf>
    <xf numFmtId="173" fontId="0" fillId="38" borderId="0" xfId="0" applyNumberFormat="1" applyFill="1" applyAlignment="1">
      <alignment/>
    </xf>
    <xf numFmtId="2" fontId="29" fillId="38" borderId="10" xfId="0" applyNumberFormat="1" applyFont="1" applyFill="1" applyBorder="1" applyAlignment="1">
      <alignment horizontal="right" vertical="top" wrapText="1"/>
    </xf>
    <xf numFmtId="0" fontId="33" fillId="38" borderId="10" xfId="0" applyFont="1" applyFill="1" applyBorder="1" applyAlignment="1">
      <alignment horizontal="right" vertical="top" wrapText="1"/>
    </xf>
    <xf numFmtId="0" fontId="36" fillId="0" borderId="16" xfId="0" applyFont="1" applyBorder="1" applyAlignment="1">
      <alignment horizontal="left" vertical="top" wrapText="1"/>
    </xf>
    <xf numFmtId="49" fontId="36" fillId="0" borderId="16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vertical="center"/>
    </xf>
    <xf numFmtId="0" fontId="16" fillId="36" borderId="21" xfId="0" applyFont="1" applyFill="1" applyBorder="1" applyAlignment="1">
      <alignment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36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left" vertical="center" wrapText="1"/>
    </xf>
    <xf numFmtId="0" fontId="29" fillId="36" borderId="21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3" fillId="36" borderId="21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36" borderId="11" xfId="0" applyFont="1" applyFill="1" applyBorder="1" applyAlignment="1">
      <alignment vertical="center"/>
    </xf>
    <xf numFmtId="0" fontId="33" fillId="36" borderId="21" xfId="0" applyFont="1" applyFill="1" applyBorder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2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left" vertical="center" textRotation="90" wrapText="1"/>
    </xf>
    <xf numFmtId="0" fontId="28" fillId="0" borderId="12" xfId="0" applyFont="1" applyBorder="1" applyAlignment="1">
      <alignment horizontal="left" vertical="center" textRotation="90" wrapText="1"/>
    </xf>
    <xf numFmtId="0" fontId="28" fillId="0" borderId="1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8" fillId="0" borderId="28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textRotation="90" wrapText="1"/>
    </xf>
    <xf numFmtId="0" fontId="28" fillId="0" borderId="11" xfId="0" applyFont="1" applyBorder="1" applyAlignment="1">
      <alignment horizontal="center" textRotation="90" wrapText="1"/>
    </xf>
    <xf numFmtId="0" fontId="28" fillId="0" borderId="21" xfId="0" applyFont="1" applyBorder="1" applyAlignment="1">
      <alignment horizontal="center" textRotation="90" wrapText="1"/>
    </xf>
    <xf numFmtId="0" fontId="28" fillId="0" borderId="12" xfId="0" applyFont="1" applyBorder="1" applyAlignment="1">
      <alignment horizontal="center" textRotation="90" wrapText="1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38" borderId="10" xfId="0" applyFont="1" applyFill="1" applyBorder="1" applyAlignment="1">
      <alignment horizontal="center" textRotation="90" wrapText="1"/>
    </xf>
    <xf numFmtId="0" fontId="28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32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9" fontId="30" fillId="0" borderId="0" xfId="0" applyNumberFormat="1" applyFont="1" applyAlignment="1">
      <alignment horizontal="center" wrapText="1"/>
    </xf>
    <xf numFmtId="49" fontId="33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29" fillId="38" borderId="11" xfId="0" applyNumberFormat="1" applyFont="1" applyFill="1" applyBorder="1" applyAlignment="1">
      <alignment horizontal="center" vertical="top" wrapText="1"/>
    </xf>
    <xf numFmtId="49" fontId="29" fillId="38" borderId="21" xfId="0" applyNumberFormat="1" applyFont="1" applyFill="1" applyBorder="1" applyAlignment="1">
      <alignment horizontal="center" vertical="top" wrapText="1"/>
    </xf>
    <xf numFmtId="0" fontId="29" fillId="38" borderId="11" xfId="0" applyFont="1" applyFill="1" applyBorder="1" applyAlignment="1">
      <alignment horizontal="left" vertical="top" wrapText="1"/>
    </xf>
    <xf numFmtId="0" fontId="29" fillId="38" borderId="21" xfId="0" applyFont="1" applyFill="1" applyBorder="1" applyAlignment="1">
      <alignment horizontal="left" vertical="top" wrapText="1"/>
    </xf>
    <xf numFmtId="0" fontId="28" fillId="38" borderId="10" xfId="0" applyFont="1" applyFill="1" applyBorder="1" applyAlignment="1">
      <alignment vertical="top" wrapText="1"/>
    </xf>
    <xf numFmtId="0" fontId="28" fillId="38" borderId="11" xfId="0" applyFont="1" applyFill="1" applyBorder="1" applyAlignment="1">
      <alignment horizontal="left" vertical="top" wrapText="1"/>
    </xf>
    <xf numFmtId="0" fontId="28" fillId="38" borderId="21" xfId="0" applyFont="1" applyFill="1" applyBorder="1" applyAlignment="1">
      <alignment horizontal="left" vertical="top" wrapText="1"/>
    </xf>
    <xf numFmtId="0" fontId="28" fillId="38" borderId="12" xfId="0" applyFont="1" applyFill="1" applyBorder="1" applyAlignment="1">
      <alignment horizontal="left" vertical="top" wrapText="1"/>
    </xf>
    <xf numFmtId="49" fontId="29" fillId="38" borderId="12" xfId="0" applyNumberFormat="1" applyFont="1" applyFill="1" applyBorder="1" applyAlignment="1">
      <alignment horizontal="center" vertical="top" wrapText="1"/>
    </xf>
    <xf numFmtId="0" fontId="29" fillId="38" borderId="12" xfId="0" applyFont="1" applyFill="1" applyBorder="1" applyAlignment="1">
      <alignment horizontal="left" vertical="top" wrapText="1"/>
    </xf>
    <xf numFmtId="0" fontId="39" fillId="38" borderId="11" xfId="0" applyFont="1" applyFill="1" applyBorder="1" applyAlignment="1">
      <alignment horizontal="left" vertical="top" wrapText="1"/>
    </xf>
    <xf numFmtId="0" fontId="39" fillId="38" borderId="21" xfId="0" applyFont="1" applyFill="1" applyBorder="1" applyAlignment="1">
      <alignment horizontal="left" vertical="top" wrapText="1"/>
    </xf>
    <xf numFmtId="0" fontId="39" fillId="38" borderId="12" xfId="0" applyFont="1" applyFill="1" applyBorder="1" applyAlignment="1">
      <alignment horizontal="left" vertical="top" wrapText="1"/>
    </xf>
    <xf numFmtId="0" fontId="28" fillId="38" borderId="10" xfId="0" applyFont="1" applyFill="1" applyBorder="1" applyAlignment="1">
      <alignment horizontal="center" vertical="top" wrapText="1"/>
    </xf>
    <xf numFmtId="49" fontId="29" fillId="38" borderId="11" xfId="0" applyNumberFormat="1" applyFont="1" applyFill="1" applyBorder="1" applyAlignment="1">
      <alignment horizontal="left" vertical="top" wrapText="1"/>
    </xf>
    <xf numFmtId="49" fontId="29" fillId="38" borderId="21" xfId="0" applyNumberFormat="1" applyFont="1" applyFill="1" applyBorder="1" applyAlignment="1">
      <alignment horizontal="left" vertical="top" wrapText="1"/>
    </xf>
    <xf numFmtId="49" fontId="29" fillId="38" borderId="12" xfId="0" applyNumberFormat="1" applyFont="1" applyFill="1" applyBorder="1" applyAlignment="1">
      <alignment horizontal="left" vertical="top" wrapText="1"/>
    </xf>
    <xf numFmtId="0" fontId="30" fillId="38" borderId="0" xfId="0" applyFont="1" applyFill="1" applyAlignment="1">
      <alignment horizontal="center" wrapText="1"/>
    </xf>
    <xf numFmtId="0" fontId="28" fillId="38" borderId="11" xfId="0" applyFont="1" applyFill="1" applyBorder="1" applyAlignment="1">
      <alignment horizontal="center" vertical="top" wrapText="1"/>
    </xf>
    <xf numFmtId="0" fontId="28" fillId="38" borderId="21" xfId="0" applyFont="1" applyFill="1" applyBorder="1" applyAlignment="1">
      <alignment horizontal="center" vertical="top" wrapText="1"/>
    </xf>
    <xf numFmtId="0" fontId="28" fillId="38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1073;&#1102;&#1076;&#1078;&#1077;&#1090;%20&#1085;&#1072;%20&#1072;&#1074;&#1075;&#1091;&#1089;&#1090;\WINDOWS\NetHood\&#1069;&#1082;&#1086;&#1085;&#1086;&#1084;&#1080;&#1089;&#1090;%20&#1087;&#1086;%20&#1073;&#1102;&#1076;&#1078;&#1077;&#1090;&#1091;%20%20&#1080;%20&#1072;&#1085;&#1072;&#1083;&#1080;&#1079;&#1091;%20&#1093;&#1086;&#1079;.%20&#1076;&#1077;&#1103;&#1090;&#1077;&#1083;&#1100;&#1085;&#1086;&#1089;&#1090;&#1080;\8%20&#1056;&#1072;&#1089;&#1095;&#1077;&#1090;%20&#1101;&#1082;&#1086;&#1085;&#1086;&#1084;&#1080;&#1095;&#1077;&#1089;&#1082;&#1080;&#1093;%20&#1079;&#1072;&#1090;&#1088;&#1072;&#1090;%20&#1080;%20&#1087;&#1083;&#1072;&#1085;%20&#1079;&#1072;&#1082;&#1091;&#1087;&#1086;&#1082;%20&#1085;&#1072;%20&#1072;&#1074;&#1075;&#1091;&#1089;&#109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88\&#1055;&#1088;&#1080;&#1083;_4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ТМ"/>
      <sheetName val="План закупок"/>
      <sheetName val="Лист1"/>
      <sheetName val="Электроэнергия"/>
      <sheetName val="Зар.плата спец."/>
      <sheetName val="ГСМ спец."/>
      <sheetName val="Бюджет"/>
    </sheetNames>
    <sheetDataSet>
      <sheetData sheetId="0">
        <row r="6">
          <cell r="D6">
            <v>41</v>
          </cell>
        </row>
        <row r="7">
          <cell r="D7">
            <v>17</v>
          </cell>
        </row>
        <row r="15">
          <cell r="AH15">
            <v>7.376058111428571</v>
          </cell>
        </row>
        <row r="16">
          <cell r="I16">
            <v>6</v>
          </cell>
        </row>
        <row r="17">
          <cell r="I17">
            <v>124</v>
          </cell>
        </row>
        <row r="18">
          <cell r="I18">
            <v>7</v>
          </cell>
        </row>
        <row r="19">
          <cell r="AH19">
            <v>1.0688713043478262</v>
          </cell>
        </row>
        <row r="20">
          <cell r="C20">
            <v>66</v>
          </cell>
        </row>
        <row r="23">
          <cell r="AH23">
            <v>48.50449471428571</v>
          </cell>
        </row>
        <row r="24">
          <cell r="I24">
            <v>610</v>
          </cell>
        </row>
        <row r="31">
          <cell r="AH31">
            <v>17.587811651142857</v>
          </cell>
        </row>
        <row r="41">
          <cell r="AH41">
            <v>10.8031068088</v>
          </cell>
        </row>
        <row r="51">
          <cell r="AH51">
            <v>10.307275028571429</v>
          </cell>
        </row>
        <row r="58">
          <cell r="AH58">
            <v>23.509028532000002</v>
          </cell>
        </row>
        <row r="59">
          <cell r="AH59">
            <v>0.3718769142857143</v>
          </cell>
        </row>
        <row r="60">
          <cell r="I60">
            <v>124</v>
          </cell>
          <cell r="AH60">
            <v>5.7640921714285716</v>
          </cell>
        </row>
        <row r="70">
          <cell r="I70">
            <v>1481</v>
          </cell>
          <cell r="AH70">
            <v>272.71874499999996</v>
          </cell>
        </row>
        <row r="71">
          <cell r="AH71">
            <v>42.21027719999999</v>
          </cell>
        </row>
        <row r="72">
          <cell r="C72">
            <v>1503</v>
          </cell>
          <cell r="AH72">
            <v>33.59051408588211</v>
          </cell>
        </row>
        <row r="73">
          <cell r="C73">
            <v>2791.9</v>
          </cell>
          <cell r="AH73">
            <v>37.31931730793684</v>
          </cell>
        </row>
        <row r="74">
          <cell r="I74">
            <v>4294.9</v>
          </cell>
          <cell r="AH74">
            <v>37.230535872727266</v>
          </cell>
        </row>
        <row r="75">
          <cell r="I75">
            <v>48</v>
          </cell>
          <cell r="AH75">
            <v>0.723408</v>
          </cell>
        </row>
        <row r="76">
          <cell r="I76">
            <v>274</v>
          </cell>
          <cell r="AH76">
            <v>2.7361994588235294</v>
          </cell>
        </row>
        <row r="77">
          <cell r="I77">
            <v>1269.14295</v>
          </cell>
          <cell r="AH77">
            <v>113.18198353993714</v>
          </cell>
        </row>
        <row r="78">
          <cell r="I78">
            <v>644.2349999999999</v>
          </cell>
          <cell r="AH78">
            <v>10.159585949999999</v>
          </cell>
        </row>
        <row r="79">
          <cell r="I79">
            <v>1138</v>
          </cell>
          <cell r="AH79">
            <v>17.150797999999998</v>
          </cell>
        </row>
        <row r="80">
          <cell r="I80">
            <v>1481</v>
          </cell>
          <cell r="AH80">
            <v>14.78945765882353</v>
          </cell>
        </row>
        <row r="81">
          <cell r="I81">
            <v>3732</v>
          </cell>
          <cell r="AH81">
            <v>219.0340656</v>
          </cell>
        </row>
        <row r="83">
          <cell r="I83">
            <v>312</v>
          </cell>
          <cell r="AH83">
            <v>73.04793600000002</v>
          </cell>
        </row>
        <row r="84">
          <cell r="AH84">
            <v>12.579839999999999</v>
          </cell>
        </row>
        <row r="85">
          <cell r="C85">
            <v>437</v>
          </cell>
          <cell r="AH85">
            <v>9.865863430160003</v>
          </cell>
        </row>
        <row r="86">
          <cell r="C86">
            <v>811</v>
          </cell>
          <cell r="AH86">
            <v>10.84528957894737</v>
          </cell>
        </row>
        <row r="87">
          <cell r="I87">
            <v>1248</v>
          </cell>
          <cell r="AH87">
            <v>10.818344727272729</v>
          </cell>
        </row>
        <row r="88">
          <cell r="I88">
            <v>14</v>
          </cell>
          <cell r="AH88">
            <v>0.21099400000000001</v>
          </cell>
        </row>
        <row r="89">
          <cell r="I89">
            <v>80</v>
          </cell>
          <cell r="AH89">
            <v>0.8035623529411765</v>
          </cell>
        </row>
        <row r="90">
          <cell r="I90">
            <v>368.784</v>
          </cell>
          <cell r="AH90">
            <v>32.88810343845993</v>
          </cell>
        </row>
        <row r="91">
          <cell r="I91">
            <v>187.2</v>
          </cell>
          <cell r="AH91">
            <v>2.9521439999999997</v>
          </cell>
        </row>
        <row r="92">
          <cell r="I92">
            <v>196</v>
          </cell>
          <cell r="AH92">
            <v>2.953916</v>
          </cell>
        </row>
        <row r="93">
          <cell r="I93">
            <v>457</v>
          </cell>
          <cell r="AH93">
            <v>4.590349941176471</v>
          </cell>
        </row>
        <row r="94">
          <cell r="I94">
            <v>933</v>
          </cell>
          <cell r="AH94">
            <v>52.331111639999996</v>
          </cell>
        </row>
        <row r="96">
          <cell r="AH96">
            <v>499.39502400000003</v>
          </cell>
        </row>
        <row r="97">
          <cell r="AH97">
            <v>86.00255999999999</v>
          </cell>
        </row>
        <row r="98">
          <cell r="AH98">
            <v>41.033008514740644</v>
          </cell>
        </row>
        <row r="99">
          <cell r="AH99">
            <v>78.39249144387097</v>
          </cell>
        </row>
        <row r="100">
          <cell r="AH100">
            <v>78.22695461538461</v>
          </cell>
        </row>
        <row r="101">
          <cell r="AH101">
            <v>1.446816</v>
          </cell>
        </row>
        <row r="102">
          <cell r="AH102">
            <v>5.464224</v>
          </cell>
        </row>
        <row r="103">
          <cell r="AH103">
            <v>224.84078408408664</v>
          </cell>
        </row>
        <row r="104">
          <cell r="AH104">
            <v>20.182446</v>
          </cell>
        </row>
        <row r="105">
          <cell r="I105">
            <v>1783</v>
          </cell>
          <cell r="AH105">
            <v>26.871593000000004</v>
          </cell>
        </row>
        <row r="106">
          <cell r="I106">
            <v>4162</v>
          </cell>
          <cell r="AH106">
            <v>41.80533141176471</v>
          </cell>
        </row>
        <row r="107">
          <cell r="I107">
            <v>8494</v>
          </cell>
          <cell r="AH107">
            <v>498.51965520000005</v>
          </cell>
        </row>
        <row r="109">
          <cell r="I109">
            <v>82</v>
          </cell>
          <cell r="AH109">
            <v>12.957968000000001</v>
          </cell>
        </row>
        <row r="110">
          <cell r="I110">
            <v>124</v>
          </cell>
          <cell r="AH110">
            <v>18.188072000000002</v>
          </cell>
        </row>
        <row r="111">
          <cell r="AH111">
            <v>6.2465003999999995</v>
          </cell>
        </row>
        <row r="112">
          <cell r="C112">
            <v>432.6</v>
          </cell>
          <cell r="AH112">
            <v>8.951030747568002</v>
          </cell>
        </row>
        <row r="113">
          <cell r="I113">
            <v>432.6</v>
          </cell>
          <cell r="AH113">
            <v>3.9663596538461534</v>
          </cell>
        </row>
        <row r="114">
          <cell r="I114">
            <v>34</v>
          </cell>
          <cell r="AH114">
            <v>0.512414</v>
          </cell>
        </row>
        <row r="115">
          <cell r="I115">
            <v>127.83330000000001</v>
          </cell>
          <cell r="AH115">
            <v>11.400155086120007</v>
          </cell>
        </row>
        <row r="116">
          <cell r="I116">
            <v>64.89</v>
          </cell>
          <cell r="AH116">
            <v>1.0233153</v>
          </cell>
        </row>
        <row r="118">
          <cell r="I118">
            <v>190</v>
          </cell>
          <cell r="AH118">
            <v>11.00537</v>
          </cell>
        </row>
        <row r="119">
          <cell r="I119">
            <v>110</v>
          </cell>
          <cell r="AH119">
            <v>14.10761</v>
          </cell>
        </row>
        <row r="120">
          <cell r="I120">
            <v>80</v>
          </cell>
          <cell r="AH120">
            <v>8.3336</v>
          </cell>
        </row>
        <row r="121">
          <cell r="AH121">
            <v>4.285679999999999</v>
          </cell>
        </row>
        <row r="122">
          <cell r="C122">
            <v>380</v>
          </cell>
          <cell r="AH122">
            <v>9.0413476784</v>
          </cell>
        </row>
        <row r="123">
          <cell r="I123">
            <v>380</v>
          </cell>
          <cell r="AH123">
            <v>3.484088461538461</v>
          </cell>
        </row>
        <row r="124">
          <cell r="I124">
            <v>28</v>
          </cell>
          <cell r="AH124">
            <v>0.28124682352941177</v>
          </cell>
        </row>
        <row r="125">
          <cell r="I125">
            <v>112.28999999999999</v>
          </cell>
          <cell r="AH125">
            <v>10.014005854659272</v>
          </cell>
        </row>
        <row r="126">
          <cell r="I126">
            <v>57</v>
          </cell>
          <cell r="AH126">
            <v>0.89889</v>
          </cell>
        </row>
        <row r="128">
          <cell r="I128">
            <v>420</v>
          </cell>
          <cell r="AH128">
            <v>38.567206999999996</v>
          </cell>
        </row>
        <row r="129">
          <cell r="AH129">
            <v>18.020407999999996</v>
          </cell>
        </row>
        <row r="130">
          <cell r="AH130">
            <v>55.97497036444444</v>
          </cell>
        </row>
        <row r="131">
          <cell r="AH131">
            <v>18.349285920000003</v>
          </cell>
        </row>
        <row r="133">
          <cell r="I133">
            <v>770</v>
          </cell>
          <cell r="AH133">
            <v>117.75609999999999</v>
          </cell>
        </row>
        <row r="134">
          <cell r="AH134">
            <v>16.473996</v>
          </cell>
        </row>
        <row r="135">
          <cell r="C135">
            <v>1386</v>
          </cell>
          <cell r="AH135">
            <v>37.51293501648001</v>
          </cell>
        </row>
        <row r="136">
          <cell r="I136">
            <v>1386</v>
          </cell>
          <cell r="AH136">
            <v>12.707754230769229</v>
          </cell>
        </row>
        <row r="137">
          <cell r="I137">
            <v>99</v>
          </cell>
          <cell r="AH137">
            <v>1.7478054000000003</v>
          </cell>
        </row>
        <row r="138">
          <cell r="I138">
            <v>559</v>
          </cell>
          <cell r="AH138">
            <v>5.808516388235295</v>
          </cell>
        </row>
        <row r="139">
          <cell r="I139">
            <v>1317</v>
          </cell>
          <cell r="AH139">
            <v>117.44986829269088</v>
          </cell>
        </row>
        <row r="140">
          <cell r="I140">
            <v>1317</v>
          </cell>
          <cell r="AH140">
            <v>20.76909</v>
          </cell>
        </row>
        <row r="141">
          <cell r="I141">
            <v>276</v>
          </cell>
          <cell r="AH141">
            <v>4.1595960000000005</v>
          </cell>
        </row>
        <row r="142">
          <cell r="I142">
            <v>644</v>
          </cell>
          <cell r="AH142">
            <v>6.46867694117647</v>
          </cell>
        </row>
        <row r="143">
          <cell r="I143">
            <v>1317</v>
          </cell>
          <cell r="AH143">
            <v>77.2957836</v>
          </cell>
        </row>
        <row r="145">
          <cell r="I145">
            <v>486</v>
          </cell>
          <cell r="AH145">
            <v>28.150578</v>
          </cell>
        </row>
        <row r="146">
          <cell r="I146">
            <v>486</v>
          </cell>
          <cell r="AH146">
            <v>69.41994840000001</v>
          </cell>
        </row>
        <row r="147">
          <cell r="AH147">
            <v>18.22533048</v>
          </cell>
        </row>
        <row r="148">
          <cell r="C148">
            <v>515.1600000000001</v>
          </cell>
          <cell r="AH148">
            <v>21.0503080555488</v>
          </cell>
        </row>
        <row r="149">
          <cell r="I149">
            <v>515.1600000000001</v>
          </cell>
          <cell r="AH149">
            <v>4.723323715384617</v>
          </cell>
        </row>
        <row r="150">
          <cell r="I150">
            <v>38</v>
          </cell>
          <cell r="AH150">
            <v>0.5726979999999998</v>
          </cell>
        </row>
        <row r="151">
          <cell r="I151">
            <v>152.22978000000003</v>
          </cell>
          <cell r="AH151">
            <v>0.8029594844236605</v>
          </cell>
        </row>
        <row r="152">
          <cell r="I152">
            <v>77.27400000000002</v>
          </cell>
          <cell r="AH152">
            <v>1.2186109800000002</v>
          </cell>
        </row>
        <row r="153">
          <cell r="AH153">
            <v>1.1906090000000003</v>
          </cell>
        </row>
        <row r="154">
          <cell r="AH154">
            <v>2.9932697647058824</v>
          </cell>
        </row>
        <row r="155">
          <cell r="I155">
            <v>377</v>
          </cell>
          <cell r="AH155">
            <v>22.1264316</v>
          </cell>
        </row>
        <row r="157">
          <cell r="I157">
            <v>10</v>
          </cell>
          <cell r="AH157">
            <v>65.8834328125</v>
          </cell>
        </row>
        <row r="158">
          <cell r="I158">
            <v>1523</v>
          </cell>
          <cell r="AH158">
            <v>49.623108247422685</v>
          </cell>
        </row>
        <row r="159">
          <cell r="I159">
            <v>1000</v>
          </cell>
          <cell r="AH159">
            <v>13.99015625</v>
          </cell>
        </row>
        <row r="161">
          <cell r="I161">
            <v>645</v>
          </cell>
          <cell r="AH161">
            <v>6.478288941176471</v>
          </cell>
        </row>
        <row r="162">
          <cell r="C162">
            <v>645</v>
          </cell>
          <cell r="AH162">
            <v>7.084923069947369</v>
          </cell>
        </row>
        <row r="163">
          <cell r="I163">
            <v>2150</v>
          </cell>
          <cell r="AH163">
            <v>43.56403956766918</v>
          </cell>
        </row>
        <row r="164">
          <cell r="I164">
            <v>2150</v>
          </cell>
          <cell r="AH164">
            <v>235.01198121978024</v>
          </cell>
        </row>
        <row r="165">
          <cell r="I165">
            <v>1500</v>
          </cell>
          <cell r="AH165">
            <v>78.69329999999998</v>
          </cell>
        </row>
        <row r="167">
          <cell r="I167">
            <v>88</v>
          </cell>
          <cell r="AH167">
            <v>1.326248</v>
          </cell>
        </row>
        <row r="168">
          <cell r="C168">
            <v>88</v>
          </cell>
          <cell r="AH168">
            <v>4.161470570658947</v>
          </cell>
        </row>
        <row r="169">
          <cell r="I169">
            <v>400</v>
          </cell>
          <cell r="AH169">
            <v>14.62907452631579</v>
          </cell>
        </row>
        <row r="170">
          <cell r="I170">
            <v>275</v>
          </cell>
          <cell r="AH170">
            <v>4.7366</v>
          </cell>
        </row>
        <row r="171">
          <cell r="C171">
            <v>275</v>
          </cell>
          <cell r="AH171">
            <v>11.913700796467104</v>
          </cell>
        </row>
        <row r="172">
          <cell r="I172">
            <v>1100</v>
          </cell>
          <cell r="AH172">
            <v>41.677647578947365</v>
          </cell>
        </row>
        <row r="174">
          <cell r="AH174">
            <v>9.03947294117647</v>
          </cell>
        </row>
        <row r="175">
          <cell r="AH175">
            <v>7.027894588070954</v>
          </cell>
        </row>
        <row r="176">
          <cell r="I176">
            <v>900</v>
          </cell>
          <cell r="AH176">
            <v>11.69194660842572</v>
          </cell>
        </row>
        <row r="177">
          <cell r="I177">
            <v>1100</v>
          </cell>
          <cell r="AH177">
            <v>270.44771368421056</v>
          </cell>
        </row>
        <row r="178">
          <cell r="I178">
            <v>900</v>
          </cell>
          <cell r="AH178">
            <v>104.16985714285714</v>
          </cell>
        </row>
        <row r="181">
          <cell r="I181">
            <v>24</v>
          </cell>
          <cell r="AH181">
            <v>3.673272</v>
          </cell>
        </row>
        <row r="182">
          <cell r="I182">
            <v>600</v>
          </cell>
          <cell r="AH182">
            <v>38.402418342857146</v>
          </cell>
        </row>
        <row r="184">
          <cell r="I184">
            <v>136</v>
          </cell>
          <cell r="AH184">
            <v>20.815208</v>
          </cell>
        </row>
        <row r="185">
          <cell r="C185">
            <v>3672</v>
          </cell>
          <cell r="AH185">
            <v>44.64264227359999</v>
          </cell>
        </row>
        <row r="186">
          <cell r="C186">
            <v>3672</v>
          </cell>
          <cell r="AH186">
            <v>11.5698668</v>
          </cell>
        </row>
        <row r="187">
          <cell r="C187">
            <v>3672</v>
          </cell>
          <cell r="AH187">
            <v>11.5698668</v>
          </cell>
        </row>
        <row r="188">
          <cell r="I188">
            <v>24</v>
          </cell>
          <cell r="AH188">
            <v>0.5242653120000001</v>
          </cell>
        </row>
        <row r="189">
          <cell r="I189">
            <v>24</v>
          </cell>
          <cell r="AH189">
            <v>1.6039801244444447</v>
          </cell>
        </row>
        <row r="190">
          <cell r="I190">
            <v>24</v>
          </cell>
          <cell r="AH190">
            <v>0.7415999999999999</v>
          </cell>
        </row>
        <row r="201">
          <cell r="AH201">
            <v>1958.44</v>
          </cell>
        </row>
        <row r="203">
          <cell r="AH203">
            <v>684.376</v>
          </cell>
        </row>
        <row r="204">
          <cell r="AH204">
            <v>1274.064</v>
          </cell>
        </row>
        <row r="206">
          <cell r="I206">
            <v>434</v>
          </cell>
          <cell r="AH206">
            <v>23.037829799999997</v>
          </cell>
        </row>
        <row r="207">
          <cell r="I207">
            <v>496</v>
          </cell>
          <cell r="AH207">
            <v>21.782707999999996</v>
          </cell>
        </row>
        <row r="208">
          <cell r="I208">
            <v>310</v>
          </cell>
          <cell r="AH208">
            <v>5.838044</v>
          </cell>
        </row>
        <row r="209">
          <cell r="I209">
            <v>868</v>
          </cell>
          <cell r="AH209">
            <v>35.47150572</v>
          </cell>
        </row>
        <row r="210">
          <cell r="AH210">
            <v>21.495372</v>
          </cell>
        </row>
        <row r="211">
          <cell r="AH211">
            <v>41.767137976</v>
          </cell>
        </row>
        <row r="212">
          <cell r="I212">
            <v>30</v>
          </cell>
          <cell r="AH212">
            <v>2.52887616</v>
          </cell>
        </row>
        <row r="213">
          <cell r="I213">
            <v>20</v>
          </cell>
          <cell r="AH213">
            <v>1.8300183999999997</v>
          </cell>
        </row>
        <row r="214">
          <cell r="I214">
            <v>248</v>
          </cell>
          <cell r="AH214">
            <v>9.11142452</v>
          </cell>
        </row>
        <row r="215">
          <cell r="I215">
            <v>777.5833333333334</v>
          </cell>
          <cell r="AH215">
            <v>82.90371333333334</v>
          </cell>
        </row>
        <row r="242">
          <cell r="AH242">
            <v>50</v>
          </cell>
        </row>
        <row r="255">
          <cell r="S255">
            <v>321.6557577666666</v>
          </cell>
          <cell r="T255">
            <v>2991.39854723</v>
          </cell>
          <cell r="W255">
            <v>112.02657625915799</v>
          </cell>
          <cell r="X255">
            <v>1125.9867005993556</v>
          </cell>
          <cell r="Z255">
            <v>17.257852431593967</v>
          </cell>
          <cell r="AH255">
            <v>12569.326933898612</v>
          </cell>
        </row>
      </sheetData>
      <sheetData sheetId="2">
        <row r="182">
          <cell r="H182">
            <v>0</v>
          </cell>
        </row>
        <row r="198">
          <cell r="F198">
            <v>3</v>
          </cell>
          <cell r="H198">
            <v>0</v>
          </cell>
        </row>
        <row r="199">
          <cell r="F199">
            <v>8</v>
          </cell>
          <cell r="H199">
            <v>0</v>
          </cell>
        </row>
        <row r="200">
          <cell r="F200">
            <v>3</v>
          </cell>
          <cell r="H200">
            <v>0</v>
          </cell>
        </row>
        <row r="201">
          <cell r="F201">
            <v>15</v>
          </cell>
          <cell r="H201">
            <v>0</v>
          </cell>
        </row>
        <row r="203">
          <cell r="F203">
            <v>100</v>
          </cell>
          <cell r="H203">
            <v>0</v>
          </cell>
        </row>
        <row r="204">
          <cell r="F204">
            <v>2</v>
          </cell>
          <cell r="H204">
            <v>0</v>
          </cell>
        </row>
        <row r="205">
          <cell r="F205">
            <v>200</v>
          </cell>
          <cell r="H20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_Бюдж.заявка"/>
      <sheetName val="Прил.5_Реестр"/>
      <sheetName val="Прил_реестр6"/>
      <sheetName val="Прил.7 Список жилье"/>
      <sheetName val="Прил 8 к_Списку жилье"/>
      <sheetName val="Прил.9_Перечень_гранты"/>
    </sheetNames>
    <sheetDataSet>
      <sheetData sheetId="3">
        <row r="21">
          <cell r="H21">
            <v>239.4</v>
          </cell>
          <cell r="I21">
            <v>152.418</v>
          </cell>
          <cell r="J21">
            <v>71.82</v>
          </cell>
          <cell r="K21">
            <v>334.362</v>
          </cell>
        </row>
        <row r="26">
          <cell r="H26">
            <v>438.9</v>
          </cell>
          <cell r="I26">
            <v>256.158</v>
          </cell>
          <cell r="J26">
            <v>143.64</v>
          </cell>
          <cell r="K26">
            <v>757.302</v>
          </cell>
        </row>
        <row r="40">
          <cell r="H40">
            <v>427.5</v>
          </cell>
          <cell r="I40">
            <v>222.3</v>
          </cell>
          <cell r="J40">
            <v>153.9</v>
          </cell>
          <cell r="K40">
            <v>906.3000000000001</v>
          </cell>
        </row>
        <row r="49">
          <cell r="H49">
            <v>307.8</v>
          </cell>
          <cell r="I49">
            <v>195.966</v>
          </cell>
          <cell r="J49">
            <v>92.34</v>
          </cell>
          <cell r="K49">
            <v>429.894</v>
          </cell>
        </row>
        <row r="54">
          <cell r="H54">
            <v>307.8</v>
          </cell>
          <cell r="I54">
            <v>195.966</v>
          </cell>
          <cell r="J54">
            <v>92.34</v>
          </cell>
          <cell r="K54">
            <v>429.894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Zeros="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" sqref="E1"/>
    </sheetView>
  </sheetViews>
  <sheetFormatPr defaultColWidth="9.00390625" defaultRowHeight="12.75"/>
  <cols>
    <col min="1" max="1" width="7.125" style="234" customWidth="1"/>
    <col min="2" max="2" width="50.00390625" style="235" customWidth="1"/>
    <col min="3" max="3" width="9.875" style="235" bestFit="1" customWidth="1"/>
    <col min="4" max="4" width="9.125" style="235" customWidth="1"/>
    <col min="5" max="5" width="15.00390625" style="235" customWidth="1"/>
    <col min="6" max="16384" width="9.125" style="235" customWidth="1"/>
  </cols>
  <sheetData>
    <row r="1" ht="15.75">
      <c r="E1" s="235" t="s">
        <v>436</v>
      </c>
    </row>
    <row r="2" spans="1:5" ht="36" customHeight="1">
      <c r="A2" s="366" t="s">
        <v>435</v>
      </c>
      <c r="B2" s="366"/>
      <c r="C2" s="366"/>
      <c r="D2" s="366"/>
      <c r="E2" s="366"/>
    </row>
    <row r="3" ht="16.5" thickBot="1"/>
    <row r="4" spans="1:5" ht="15.75">
      <c r="A4" s="242" t="s">
        <v>107</v>
      </c>
      <c r="B4" s="243" t="s">
        <v>402</v>
      </c>
      <c r="C4" s="243" t="s">
        <v>48</v>
      </c>
      <c r="D4" s="243" t="s">
        <v>403</v>
      </c>
      <c r="E4" s="244" t="s">
        <v>54</v>
      </c>
    </row>
    <row r="5" spans="1:5" s="236" customFormat="1" ht="31.5">
      <c r="A5" s="245" t="s">
        <v>55</v>
      </c>
      <c r="B5" s="239" t="s">
        <v>404</v>
      </c>
      <c r="C5" s="240" t="s">
        <v>405</v>
      </c>
      <c r="D5" s="240">
        <v>1411</v>
      </c>
      <c r="E5" s="246"/>
    </row>
    <row r="6" spans="1:5" ht="15.75">
      <c r="A6" s="247" t="s">
        <v>429</v>
      </c>
      <c r="B6" s="239" t="s">
        <v>406</v>
      </c>
      <c r="C6" s="240" t="s">
        <v>405</v>
      </c>
      <c r="D6" s="240">
        <v>34.68</v>
      </c>
      <c r="E6" s="246"/>
    </row>
    <row r="7" spans="1:5" ht="15.75">
      <c r="A7" s="247" t="s">
        <v>430</v>
      </c>
      <c r="B7" s="239" t="s">
        <v>407</v>
      </c>
      <c r="C7" s="240" t="s">
        <v>405</v>
      </c>
      <c r="D7" s="240">
        <v>966.4</v>
      </c>
      <c r="E7" s="246"/>
    </row>
    <row r="8" spans="1:5" ht="31.5">
      <c r="A8" s="247" t="s">
        <v>431</v>
      </c>
      <c r="B8" s="241" t="s">
        <v>434</v>
      </c>
      <c r="C8" s="240" t="s">
        <v>25</v>
      </c>
      <c r="D8" s="240" t="s">
        <v>408</v>
      </c>
      <c r="E8" s="246"/>
    </row>
    <row r="9" spans="1:5" ht="15.75">
      <c r="A9" s="363" t="s">
        <v>432</v>
      </c>
      <c r="B9" s="252" t="s">
        <v>409</v>
      </c>
      <c r="C9" s="364" t="s">
        <v>25</v>
      </c>
      <c r="D9" s="364">
        <v>522</v>
      </c>
      <c r="E9" s="365"/>
    </row>
    <row r="10" spans="1:5" ht="15.75">
      <c r="A10" s="363"/>
      <c r="B10" s="253" t="s">
        <v>410</v>
      </c>
      <c r="C10" s="364"/>
      <c r="D10" s="364"/>
      <c r="E10" s="365"/>
    </row>
    <row r="11" spans="1:5" ht="16.5" customHeight="1">
      <c r="A11" s="363"/>
      <c r="B11" s="253" t="s">
        <v>411</v>
      </c>
      <c r="C11" s="364"/>
      <c r="D11" s="364"/>
      <c r="E11" s="365"/>
    </row>
    <row r="12" spans="1:5" ht="15.75">
      <c r="A12" s="363"/>
      <c r="B12" s="254" t="s">
        <v>412</v>
      </c>
      <c r="C12" s="364"/>
      <c r="D12" s="364"/>
      <c r="E12" s="365"/>
    </row>
    <row r="13" spans="1:5" ht="15.75">
      <c r="A13" s="363" t="s">
        <v>433</v>
      </c>
      <c r="B13" s="255" t="s">
        <v>413</v>
      </c>
      <c r="C13" s="364" t="s">
        <v>25</v>
      </c>
      <c r="D13" s="364">
        <v>127277</v>
      </c>
      <c r="E13" s="365"/>
    </row>
    <row r="14" spans="1:5" ht="15.75">
      <c r="A14" s="363"/>
      <c r="B14" s="256" t="s">
        <v>414</v>
      </c>
      <c r="C14" s="364"/>
      <c r="D14" s="364"/>
      <c r="E14" s="365"/>
    </row>
    <row r="15" spans="1:5" ht="15.75">
      <c r="A15" s="363"/>
      <c r="B15" s="255" t="s">
        <v>415</v>
      </c>
      <c r="C15" s="240" t="s">
        <v>25</v>
      </c>
      <c r="D15" s="240">
        <v>101278</v>
      </c>
      <c r="E15" s="246"/>
    </row>
    <row r="16" spans="1:5" ht="15.75">
      <c r="A16" s="363"/>
      <c r="B16" s="256" t="s">
        <v>416</v>
      </c>
      <c r="C16" s="240" t="s">
        <v>417</v>
      </c>
      <c r="D16" s="240">
        <v>79.5</v>
      </c>
      <c r="E16" s="246"/>
    </row>
    <row r="17" spans="1:5" ht="15.75">
      <c r="A17" s="362">
        <v>2</v>
      </c>
      <c r="B17" s="239" t="s">
        <v>418</v>
      </c>
      <c r="C17" s="240" t="s">
        <v>419</v>
      </c>
      <c r="D17" s="240">
        <v>9</v>
      </c>
      <c r="E17" s="246"/>
    </row>
    <row r="18" spans="1:5" ht="15.75">
      <c r="A18" s="362"/>
      <c r="B18" s="239" t="s">
        <v>420</v>
      </c>
      <c r="C18" s="240" t="s">
        <v>25</v>
      </c>
      <c r="D18" s="240">
        <v>94774</v>
      </c>
      <c r="E18" s="246"/>
    </row>
    <row r="19" spans="1:5" ht="15.75">
      <c r="A19" s="362"/>
      <c r="B19" s="239" t="s">
        <v>421</v>
      </c>
      <c r="C19" s="240" t="s">
        <v>422</v>
      </c>
      <c r="D19" s="240">
        <v>823</v>
      </c>
      <c r="E19" s="246"/>
    </row>
    <row r="20" spans="1:5" ht="15.75">
      <c r="A20" s="362"/>
      <c r="B20" s="239" t="s">
        <v>423</v>
      </c>
      <c r="C20" s="240" t="s">
        <v>424</v>
      </c>
      <c r="D20" s="240">
        <v>25558</v>
      </c>
      <c r="E20" s="246"/>
    </row>
    <row r="21" spans="1:5" ht="30.75" customHeight="1">
      <c r="A21" s="362">
        <v>3</v>
      </c>
      <c r="B21" s="239" t="s">
        <v>425</v>
      </c>
      <c r="C21" s="240" t="s">
        <v>419</v>
      </c>
      <c r="D21" s="240">
        <v>53</v>
      </c>
      <c r="E21" s="246"/>
    </row>
    <row r="22" spans="1:5" ht="30.75" customHeight="1">
      <c r="A22" s="362"/>
      <c r="B22" s="239" t="s">
        <v>420</v>
      </c>
      <c r="C22" s="240" t="s">
        <v>25</v>
      </c>
      <c r="D22" s="240">
        <v>10179</v>
      </c>
      <c r="E22" s="246"/>
    </row>
    <row r="23" spans="1:5" ht="30.75" customHeight="1">
      <c r="A23" s="362"/>
      <c r="B23" s="239" t="s">
        <v>421</v>
      </c>
      <c r="C23" s="240" t="s">
        <v>422</v>
      </c>
      <c r="D23" s="240">
        <v>81</v>
      </c>
      <c r="E23" s="246"/>
    </row>
    <row r="24" spans="1:5" ht="30.75" customHeight="1">
      <c r="A24" s="362"/>
      <c r="B24" s="239" t="s">
        <v>423</v>
      </c>
      <c r="C24" s="240" t="s">
        <v>424</v>
      </c>
      <c r="D24" s="240">
        <v>13085</v>
      </c>
      <c r="E24" s="246"/>
    </row>
    <row r="25" spans="1:5" ht="30.75" customHeight="1">
      <c r="A25" s="245">
        <v>4</v>
      </c>
      <c r="B25" s="239" t="s">
        <v>426</v>
      </c>
      <c r="C25" s="240" t="s">
        <v>419</v>
      </c>
      <c r="D25" s="240">
        <v>5617</v>
      </c>
      <c r="E25" s="246"/>
    </row>
    <row r="26" spans="1:5" ht="30.75" customHeight="1">
      <c r="A26" s="245"/>
      <c r="B26" s="239" t="s">
        <v>427</v>
      </c>
      <c r="C26" s="240" t="s">
        <v>25</v>
      </c>
      <c r="D26" s="240">
        <v>3084</v>
      </c>
      <c r="E26" s="246"/>
    </row>
    <row r="27" spans="1:5" ht="30.75" customHeight="1" thickBot="1">
      <c r="A27" s="248"/>
      <c r="B27" s="249" t="s">
        <v>428</v>
      </c>
      <c r="C27" s="250" t="s">
        <v>424</v>
      </c>
      <c r="D27" s="250">
        <v>10599</v>
      </c>
      <c r="E27" s="251"/>
    </row>
    <row r="28" ht="13.5" customHeight="1"/>
    <row r="29" ht="13.5" customHeight="1"/>
    <row r="30" ht="13.5" customHeight="1"/>
    <row r="31" ht="13.5" customHeight="1"/>
    <row r="32" ht="13.5" customHeight="1"/>
    <row r="35" s="237" customFormat="1" ht="15.75">
      <c r="A35" s="234"/>
    </row>
    <row r="36" s="237" customFormat="1" ht="7.5" customHeight="1">
      <c r="A36" s="234"/>
    </row>
    <row r="37" s="237" customFormat="1" ht="12" customHeight="1">
      <c r="A37" s="234"/>
    </row>
    <row r="38" s="237" customFormat="1" ht="8.25" customHeight="1">
      <c r="A38" s="234"/>
    </row>
    <row r="39" s="237" customFormat="1" ht="12" customHeight="1">
      <c r="A39" s="234"/>
    </row>
    <row r="40" s="237" customFormat="1" ht="12" customHeight="1">
      <c r="A40" s="234"/>
    </row>
    <row r="41" s="237" customFormat="1" ht="12" customHeight="1">
      <c r="A41" s="234"/>
    </row>
    <row r="42" s="237" customFormat="1" ht="12" customHeight="1">
      <c r="A42" s="234"/>
    </row>
    <row r="43" s="237" customFormat="1" ht="12" customHeight="1">
      <c r="A43" s="234"/>
    </row>
    <row r="44" s="237" customFormat="1" ht="12" customHeight="1">
      <c r="A44" s="234"/>
    </row>
    <row r="1271" ht="11.25" customHeight="1"/>
  </sheetData>
  <sheetProtection/>
  <mergeCells count="11">
    <mergeCell ref="A17:A20"/>
    <mergeCell ref="A21:A24"/>
    <mergeCell ref="A9:A12"/>
    <mergeCell ref="C9:C12"/>
    <mergeCell ref="D9:D12"/>
    <mergeCell ref="E9:E12"/>
    <mergeCell ref="A2:E2"/>
    <mergeCell ref="A13:A16"/>
    <mergeCell ref="C13:C14"/>
    <mergeCell ref="D13:D14"/>
    <mergeCell ref="E13:E14"/>
  </mergeCells>
  <printOptions horizontalCentered="1"/>
  <pageMargins left="0" right="0" top="0.984251968503937" bottom="0" header="0.5118110236220472" footer="0.5118110236220472"/>
  <pageSetup fitToHeight="7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3">
      <selection activeCell="M11" sqref="M11"/>
    </sheetView>
  </sheetViews>
  <sheetFormatPr defaultColWidth="9.00390625" defaultRowHeight="12.75"/>
  <cols>
    <col min="1" max="1" width="3.875" style="220" customWidth="1"/>
    <col min="2" max="2" width="28.375" style="220" customWidth="1"/>
    <col min="3" max="3" width="9.125" style="220" customWidth="1"/>
    <col min="4" max="4" width="10.125" style="220" customWidth="1"/>
    <col min="5" max="5" width="9.875" style="220" customWidth="1"/>
    <col min="6" max="6" width="9.125" style="220" customWidth="1"/>
    <col min="7" max="7" width="9.25390625" style="220" customWidth="1"/>
    <col min="8" max="8" width="11.00390625" style="220" customWidth="1"/>
    <col min="9" max="9" width="9.125" style="220" customWidth="1"/>
    <col min="10" max="10" width="11.75390625" style="220" customWidth="1"/>
    <col min="11" max="11" width="9.125" style="220" customWidth="1"/>
    <col min="12" max="12" width="12.125" style="220" customWidth="1"/>
    <col min="13" max="16384" width="9.125" style="220" customWidth="1"/>
  </cols>
  <sheetData>
    <row r="1" ht="15.75">
      <c r="L1" s="238" t="s">
        <v>564</v>
      </c>
    </row>
    <row r="2" spans="1:12" ht="28.5" customHeight="1">
      <c r="A2" s="438" t="s">
        <v>563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4" spans="1:12" ht="52.5" customHeight="1">
      <c r="A4" s="429" t="s">
        <v>107</v>
      </c>
      <c r="B4" s="429" t="s">
        <v>555</v>
      </c>
      <c r="C4" s="422" t="s">
        <v>557</v>
      </c>
      <c r="D4" s="422"/>
      <c r="E4" s="422"/>
      <c r="F4" s="422" t="s">
        <v>556</v>
      </c>
      <c r="G4" s="422"/>
      <c r="H4" s="422"/>
      <c r="I4" s="422" t="s">
        <v>558</v>
      </c>
      <c r="J4" s="422"/>
      <c r="K4" s="422" t="s">
        <v>559</v>
      </c>
      <c r="L4" s="422"/>
    </row>
    <row r="5" spans="1:12" ht="26.25" customHeight="1">
      <c r="A5" s="430"/>
      <c r="B5" s="430"/>
      <c r="C5" s="258" t="s">
        <v>403</v>
      </c>
      <c r="D5" s="258" t="s">
        <v>560</v>
      </c>
      <c r="E5" s="258" t="s">
        <v>561</v>
      </c>
      <c r="F5" s="258" t="s">
        <v>403</v>
      </c>
      <c r="G5" s="258" t="s">
        <v>560</v>
      </c>
      <c r="H5" s="258" t="s">
        <v>561</v>
      </c>
      <c r="I5" s="258" t="s">
        <v>562</v>
      </c>
      <c r="J5" s="262" t="s">
        <v>516</v>
      </c>
      <c r="K5" s="258" t="s">
        <v>562</v>
      </c>
      <c r="L5" s="262" t="s">
        <v>516</v>
      </c>
    </row>
    <row r="6" spans="1:12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10</v>
      </c>
      <c r="J6" s="258">
        <v>11</v>
      </c>
      <c r="K6" s="258">
        <v>12</v>
      </c>
      <c r="L6" s="258">
        <v>13</v>
      </c>
    </row>
    <row r="7" spans="1:12" ht="15" customHeight="1">
      <c r="A7" s="273">
        <v>1</v>
      </c>
      <c r="B7" s="261" t="s">
        <v>456</v>
      </c>
      <c r="C7" s="273">
        <v>3</v>
      </c>
      <c r="D7" s="273" t="s">
        <v>974</v>
      </c>
      <c r="E7" s="273">
        <v>36</v>
      </c>
      <c r="F7" s="273">
        <v>3</v>
      </c>
      <c r="G7" s="273" t="s">
        <v>974</v>
      </c>
      <c r="H7" s="273">
        <v>36</v>
      </c>
      <c r="I7" s="273">
        <v>206</v>
      </c>
      <c r="J7" s="273">
        <v>92</v>
      </c>
      <c r="K7" s="273">
        <v>4</v>
      </c>
      <c r="L7" s="273">
        <v>80</v>
      </c>
    </row>
    <row r="8" spans="1:12" ht="15" customHeight="1">
      <c r="A8" s="273">
        <v>2</v>
      </c>
      <c r="B8" s="261" t="s">
        <v>457</v>
      </c>
      <c r="C8" s="273">
        <v>3</v>
      </c>
      <c r="D8" s="273" t="s">
        <v>975</v>
      </c>
      <c r="E8" s="273">
        <v>28</v>
      </c>
      <c r="F8" s="273">
        <v>3</v>
      </c>
      <c r="G8" s="273" t="s">
        <v>975</v>
      </c>
      <c r="H8" s="273">
        <v>28</v>
      </c>
      <c r="I8" s="273">
        <v>165</v>
      </c>
      <c r="J8" s="273">
        <v>55</v>
      </c>
      <c r="K8" s="273">
        <v>5</v>
      </c>
      <c r="L8" s="273">
        <v>83</v>
      </c>
    </row>
    <row r="9" spans="1:12" ht="15" customHeight="1">
      <c r="A9" s="273">
        <v>3</v>
      </c>
      <c r="B9" s="261" t="s">
        <v>458</v>
      </c>
      <c r="C9" s="273">
        <v>1</v>
      </c>
      <c r="D9" s="273">
        <v>2006</v>
      </c>
      <c r="E9" s="273">
        <v>16</v>
      </c>
      <c r="F9" s="273">
        <v>4</v>
      </c>
      <c r="G9" s="273">
        <v>2006.2009</v>
      </c>
      <c r="H9" s="273">
        <v>16</v>
      </c>
      <c r="I9" s="273">
        <v>139</v>
      </c>
      <c r="J9" s="273">
        <v>62</v>
      </c>
      <c r="K9" s="273">
        <v>3</v>
      </c>
      <c r="L9" s="273">
        <v>100</v>
      </c>
    </row>
    <row r="10" spans="1:12" ht="15" customHeight="1">
      <c r="A10" s="273">
        <v>4</v>
      </c>
      <c r="B10" s="261" t="s">
        <v>459</v>
      </c>
      <c r="C10" s="273">
        <v>1</v>
      </c>
      <c r="D10" s="273">
        <v>2000</v>
      </c>
      <c r="E10" s="273">
        <v>26</v>
      </c>
      <c r="F10" s="273">
        <v>2</v>
      </c>
      <c r="G10" s="273">
        <v>2000</v>
      </c>
      <c r="H10" s="273">
        <v>26</v>
      </c>
      <c r="I10" s="273">
        <v>153</v>
      </c>
      <c r="J10" s="273">
        <v>78</v>
      </c>
      <c r="K10" s="273">
        <v>3</v>
      </c>
      <c r="L10" s="273">
        <v>100</v>
      </c>
    </row>
    <row r="11" spans="1:12" ht="15" customHeight="1">
      <c r="A11" s="273">
        <v>5</v>
      </c>
      <c r="B11" s="261" t="s">
        <v>460</v>
      </c>
      <c r="C11" s="273">
        <v>1</v>
      </c>
      <c r="D11" s="273">
        <v>1997</v>
      </c>
      <c r="E11" s="273">
        <v>32</v>
      </c>
      <c r="F11" s="273">
        <v>4</v>
      </c>
      <c r="G11" s="273">
        <v>1997</v>
      </c>
      <c r="H11" s="273">
        <v>32</v>
      </c>
      <c r="I11" s="273">
        <v>126</v>
      </c>
      <c r="J11" s="273">
        <v>72</v>
      </c>
      <c r="K11" s="273">
        <v>3</v>
      </c>
      <c r="L11" s="273">
        <v>100</v>
      </c>
    </row>
    <row r="12" spans="1:12" ht="15" customHeight="1">
      <c r="A12" s="273">
        <v>6</v>
      </c>
      <c r="B12" s="261" t="s">
        <v>461</v>
      </c>
      <c r="C12" s="273">
        <v>4</v>
      </c>
      <c r="D12" s="273" t="s">
        <v>976</v>
      </c>
      <c r="E12" s="273">
        <v>36</v>
      </c>
      <c r="F12" s="273">
        <v>11</v>
      </c>
      <c r="G12" s="273" t="s">
        <v>976</v>
      </c>
      <c r="H12" s="273">
        <v>36</v>
      </c>
      <c r="I12" s="318">
        <v>419</v>
      </c>
      <c r="J12" s="273">
        <v>90</v>
      </c>
      <c r="K12" s="273">
        <v>3</v>
      </c>
      <c r="L12" s="273">
        <v>43</v>
      </c>
    </row>
    <row r="13" spans="1:12" ht="15" customHeight="1">
      <c r="A13" s="273">
        <v>7</v>
      </c>
      <c r="B13" s="261" t="s">
        <v>462</v>
      </c>
      <c r="C13" s="273">
        <v>5</v>
      </c>
      <c r="D13" s="273" t="s">
        <v>977</v>
      </c>
      <c r="E13" s="273">
        <v>32</v>
      </c>
      <c r="F13" s="273">
        <v>7</v>
      </c>
      <c r="G13" s="273" t="s">
        <v>977</v>
      </c>
      <c r="H13" s="273">
        <v>32</v>
      </c>
      <c r="I13" s="318">
        <v>583</v>
      </c>
      <c r="J13" s="273">
        <v>72</v>
      </c>
      <c r="K13" s="273">
        <v>6</v>
      </c>
      <c r="L13" s="273">
        <v>60</v>
      </c>
    </row>
    <row r="14" spans="1:12" ht="15" customHeight="1">
      <c r="A14" s="273">
        <v>8</v>
      </c>
      <c r="B14" s="261" t="s">
        <v>463</v>
      </c>
      <c r="C14" s="273">
        <v>4</v>
      </c>
      <c r="D14" s="273">
        <v>1997</v>
      </c>
      <c r="E14" s="273">
        <v>32</v>
      </c>
      <c r="F14" s="273">
        <v>7</v>
      </c>
      <c r="G14" s="273">
        <v>1997</v>
      </c>
      <c r="H14" s="273">
        <v>32</v>
      </c>
      <c r="I14" s="273">
        <v>209</v>
      </c>
      <c r="J14" s="273">
        <v>85</v>
      </c>
      <c r="K14" s="273">
        <v>6</v>
      </c>
      <c r="L14" s="273">
        <v>100</v>
      </c>
    </row>
    <row r="15" spans="1:12" ht="15" customHeight="1">
      <c r="A15" s="273">
        <v>9</v>
      </c>
      <c r="B15" s="261" t="s">
        <v>464</v>
      </c>
      <c r="C15" s="273">
        <v>3</v>
      </c>
      <c r="D15" s="273" t="s">
        <v>978</v>
      </c>
      <c r="E15" s="273">
        <v>14</v>
      </c>
      <c r="F15" s="273">
        <v>5</v>
      </c>
      <c r="G15" s="273" t="s">
        <v>978</v>
      </c>
      <c r="H15" s="273">
        <v>14</v>
      </c>
      <c r="I15" s="273">
        <v>164</v>
      </c>
      <c r="J15" s="273">
        <v>79</v>
      </c>
      <c r="K15" s="273">
        <v>2</v>
      </c>
      <c r="L15" s="273">
        <v>40</v>
      </c>
    </row>
    <row r="16" spans="1:12" ht="15" customHeight="1">
      <c r="A16" s="273">
        <v>10</v>
      </c>
      <c r="B16" s="261" t="s">
        <v>465</v>
      </c>
      <c r="C16" s="273">
        <v>2</v>
      </c>
      <c r="D16" s="273" t="s">
        <v>979</v>
      </c>
      <c r="E16" s="273">
        <v>30</v>
      </c>
      <c r="F16" s="273">
        <v>3</v>
      </c>
      <c r="G16" s="273" t="s">
        <v>979</v>
      </c>
      <c r="H16" s="273">
        <v>30</v>
      </c>
      <c r="I16" s="318">
        <v>197</v>
      </c>
      <c r="J16" s="273">
        <v>92</v>
      </c>
      <c r="K16" s="273">
        <v>3</v>
      </c>
      <c r="L16" s="273">
        <v>75</v>
      </c>
    </row>
    <row r="17" spans="1:12" ht="15" customHeight="1">
      <c r="A17" s="273">
        <v>11</v>
      </c>
      <c r="B17" s="261" t="s">
        <v>466</v>
      </c>
      <c r="C17" s="273">
        <v>4</v>
      </c>
      <c r="D17" s="273" t="s">
        <v>980</v>
      </c>
      <c r="E17" s="273">
        <v>30</v>
      </c>
      <c r="F17" s="273">
        <v>6</v>
      </c>
      <c r="G17" s="273" t="s">
        <v>980</v>
      </c>
      <c r="H17" s="273">
        <v>30</v>
      </c>
      <c r="I17" s="318">
        <v>230</v>
      </c>
      <c r="J17" s="273">
        <v>67</v>
      </c>
      <c r="K17" s="273">
        <v>5</v>
      </c>
      <c r="L17" s="273">
        <v>100</v>
      </c>
    </row>
    <row r="18" spans="1:12" ht="15" customHeight="1">
      <c r="A18" s="273">
        <v>12</v>
      </c>
      <c r="B18" s="261" t="s">
        <v>467</v>
      </c>
      <c r="C18" s="273">
        <v>6</v>
      </c>
      <c r="D18" s="273" t="s">
        <v>981</v>
      </c>
      <c r="E18" s="273">
        <v>28</v>
      </c>
      <c r="F18" s="273">
        <v>8</v>
      </c>
      <c r="G18" s="273" t="s">
        <v>981</v>
      </c>
      <c r="H18" s="273">
        <v>28</v>
      </c>
      <c r="I18" s="273">
        <v>339</v>
      </c>
      <c r="J18" s="273">
        <v>64</v>
      </c>
      <c r="K18" s="273">
        <v>6</v>
      </c>
      <c r="L18" s="273">
        <v>75</v>
      </c>
    </row>
    <row r="19" spans="1:12" ht="15" customHeight="1">
      <c r="A19" s="273">
        <v>13</v>
      </c>
      <c r="B19" s="261" t="s">
        <v>468</v>
      </c>
      <c r="C19" s="273">
        <v>3</v>
      </c>
      <c r="D19" s="273" t="s">
        <v>978</v>
      </c>
      <c r="E19" s="273">
        <v>14</v>
      </c>
      <c r="F19" s="273">
        <v>6</v>
      </c>
      <c r="G19" s="273" t="s">
        <v>978</v>
      </c>
      <c r="H19" s="273">
        <v>14</v>
      </c>
      <c r="I19" s="273">
        <v>226</v>
      </c>
      <c r="J19" s="273">
        <v>60</v>
      </c>
      <c r="K19" s="273">
        <v>4</v>
      </c>
      <c r="L19" s="273">
        <v>67</v>
      </c>
    </row>
    <row r="20" spans="1:12" s="221" customFormat="1" ht="27.75" customHeight="1">
      <c r="A20" s="258"/>
      <c r="B20" s="264" t="s">
        <v>541</v>
      </c>
      <c r="C20" s="258">
        <f>SUM(C7:C19)</f>
        <v>40</v>
      </c>
      <c r="D20" s="258" t="s">
        <v>4</v>
      </c>
      <c r="E20" s="355">
        <f>SUM(E7:E19)/13</f>
        <v>27.23076923076923</v>
      </c>
      <c r="F20" s="258">
        <f>SUM(F7:F19)</f>
        <v>69</v>
      </c>
      <c r="G20" s="258" t="s">
        <v>4</v>
      </c>
      <c r="H20" s="355">
        <f>SUM(H7:H19)/13</f>
        <v>27.23076923076923</v>
      </c>
      <c r="I20" s="258">
        <f>SUM(I7:I19)</f>
        <v>3156</v>
      </c>
      <c r="J20" s="355">
        <f>SUM(J7:J19)/13</f>
        <v>74.46153846153847</v>
      </c>
      <c r="K20" s="258">
        <f>SUM(K7:K19)</f>
        <v>53</v>
      </c>
      <c r="L20" s="355">
        <f>SUM(L7:L19)/13</f>
        <v>78.6923076923077</v>
      </c>
    </row>
  </sheetData>
  <sheetProtection/>
  <mergeCells count="7">
    <mergeCell ref="A2:L2"/>
    <mergeCell ref="K4:L4"/>
    <mergeCell ref="C4:E4"/>
    <mergeCell ref="F4:H4"/>
    <mergeCell ref="I4:J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4">
      <pane xSplit="2" ySplit="3" topLeftCell="D14" activePane="bottomRight" state="frozen"/>
      <selection pane="topLeft" activeCell="A4" sqref="A4"/>
      <selection pane="topRight" activeCell="C4" sqref="C4"/>
      <selection pane="bottomLeft" activeCell="A7" sqref="A7"/>
      <selection pane="bottomRight" activeCell="V20" sqref="V20"/>
    </sheetView>
  </sheetViews>
  <sheetFormatPr defaultColWidth="9.00390625" defaultRowHeight="12.75"/>
  <cols>
    <col min="1" max="1" width="4.125" style="0" customWidth="1"/>
    <col min="2" max="2" width="22.375" style="0" customWidth="1"/>
    <col min="3" max="20" width="5.75390625" style="0" customWidth="1"/>
    <col min="21" max="22" width="6.75390625" style="0" customWidth="1"/>
  </cols>
  <sheetData>
    <row r="1" spans="21:22" ht="15">
      <c r="U1" s="449" t="s">
        <v>576</v>
      </c>
      <c r="V1" s="449"/>
    </row>
    <row r="2" spans="1:22" s="220" customFormat="1" ht="15.75">
      <c r="A2" s="446" t="s">
        <v>575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4" spans="1:22" ht="55.5" customHeight="1">
      <c r="A4" s="422" t="s">
        <v>107</v>
      </c>
      <c r="B4" s="258" t="s">
        <v>555</v>
      </c>
      <c r="C4" s="422" t="s">
        <v>565</v>
      </c>
      <c r="D4" s="422"/>
      <c r="E4" s="422"/>
      <c r="F4" s="422" t="s">
        <v>566</v>
      </c>
      <c r="G4" s="422"/>
      <c r="H4" s="422"/>
      <c r="I4" s="422" t="s">
        <v>572</v>
      </c>
      <c r="J4" s="422"/>
      <c r="K4" s="422"/>
      <c r="L4" s="422" t="s">
        <v>567</v>
      </c>
      <c r="M4" s="422"/>
      <c r="N4" s="422"/>
      <c r="O4" s="422" t="s">
        <v>573</v>
      </c>
      <c r="P4" s="422"/>
      <c r="Q4" s="422"/>
      <c r="R4" s="422" t="s">
        <v>574</v>
      </c>
      <c r="S4" s="422"/>
      <c r="T4" s="422"/>
      <c r="U4" s="422" t="s">
        <v>568</v>
      </c>
      <c r="V4" s="422"/>
    </row>
    <row r="5" spans="1:22" ht="69.75">
      <c r="A5" s="422"/>
      <c r="B5" s="276"/>
      <c r="C5" s="274" t="s">
        <v>569</v>
      </c>
      <c r="D5" s="274" t="s">
        <v>560</v>
      </c>
      <c r="E5" s="274" t="s">
        <v>561</v>
      </c>
      <c r="F5" s="274" t="s">
        <v>569</v>
      </c>
      <c r="G5" s="274" t="s">
        <v>560</v>
      </c>
      <c r="H5" s="274" t="s">
        <v>561</v>
      </c>
      <c r="I5" s="274" t="s">
        <v>569</v>
      </c>
      <c r="J5" s="274" t="s">
        <v>560</v>
      </c>
      <c r="K5" s="274" t="s">
        <v>561</v>
      </c>
      <c r="L5" s="274" t="s">
        <v>569</v>
      </c>
      <c r="M5" s="274" t="s">
        <v>560</v>
      </c>
      <c r="N5" s="274" t="s">
        <v>561</v>
      </c>
      <c r="O5" s="274" t="s">
        <v>569</v>
      </c>
      <c r="P5" s="274" t="s">
        <v>560</v>
      </c>
      <c r="Q5" s="274" t="s">
        <v>561</v>
      </c>
      <c r="R5" s="274" t="s">
        <v>569</v>
      </c>
      <c r="S5" s="274" t="s">
        <v>560</v>
      </c>
      <c r="T5" s="274" t="s">
        <v>561</v>
      </c>
      <c r="U5" s="274" t="s">
        <v>570</v>
      </c>
      <c r="V5" s="274" t="s">
        <v>571</v>
      </c>
    </row>
    <row r="6" spans="1:22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8">
        <v>13</v>
      </c>
      <c r="N6" s="258">
        <v>14</v>
      </c>
      <c r="O6" s="258">
        <v>15</v>
      </c>
      <c r="P6" s="258">
        <v>16</v>
      </c>
      <c r="Q6" s="258">
        <v>17</v>
      </c>
      <c r="R6" s="258">
        <v>18</v>
      </c>
      <c r="S6" s="258">
        <v>19</v>
      </c>
      <c r="T6" s="258">
        <v>20</v>
      </c>
      <c r="U6" s="258">
        <v>21</v>
      </c>
      <c r="V6" s="258">
        <v>22</v>
      </c>
    </row>
    <row r="7" spans="1:22" ht="25.5" customHeight="1">
      <c r="A7" s="273">
        <v>1</v>
      </c>
      <c r="B7" s="261" t="s">
        <v>456</v>
      </c>
      <c r="C7" s="147">
        <v>4</v>
      </c>
      <c r="D7" s="147" t="s">
        <v>982</v>
      </c>
      <c r="E7" s="147">
        <v>80</v>
      </c>
      <c r="F7" s="147">
        <v>4</v>
      </c>
      <c r="G7" s="147" t="s">
        <v>982</v>
      </c>
      <c r="H7" s="147">
        <v>80</v>
      </c>
      <c r="I7" s="147" t="s">
        <v>408</v>
      </c>
      <c r="J7" s="147" t="s">
        <v>408</v>
      </c>
      <c r="K7" s="147" t="s">
        <v>408</v>
      </c>
      <c r="L7" s="147">
        <v>4</v>
      </c>
      <c r="M7" s="147" t="s">
        <v>982</v>
      </c>
      <c r="N7" s="147">
        <v>80</v>
      </c>
      <c r="O7" s="147">
        <v>21.2</v>
      </c>
      <c r="P7" s="147" t="s">
        <v>982</v>
      </c>
      <c r="Q7" s="147">
        <v>80</v>
      </c>
      <c r="R7" s="147">
        <v>4</v>
      </c>
      <c r="S7" s="147">
        <v>1969</v>
      </c>
      <c r="T7" s="147">
        <v>80</v>
      </c>
      <c r="U7" s="147">
        <v>450</v>
      </c>
      <c r="V7" s="147">
        <v>77</v>
      </c>
    </row>
    <row r="8" spans="1:22" ht="27" customHeight="1">
      <c r="A8" s="273">
        <v>2</v>
      </c>
      <c r="B8" s="261" t="s">
        <v>457</v>
      </c>
      <c r="C8" s="147">
        <v>3</v>
      </c>
      <c r="D8" s="147" t="s">
        <v>983</v>
      </c>
      <c r="E8" s="147" t="s">
        <v>984</v>
      </c>
      <c r="F8" s="147">
        <v>2</v>
      </c>
      <c r="G8" s="147" t="s">
        <v>983</v>
      </c>
      <c r="H8" s="147" t="s">
        <v>984</v>
      </c>
      <c r="I8" s="147" t="s">
        <v>408</v>
      </c>
      <c r="J8" s="147" t="s">
        <v>408</v>
      </c>
      <c r="K8" s="147" t="s">
        <v>408</v>
      </c>
      <c r="L8" s="147">
        <v>2</v>
      </c>
      <c r="M8" s="147" t="s">
        <v>983</v>
      </c>
      <c r="N8" s="147" t="s">
        <v>984</v>
      </c>
      <c r="O8" s="147">
        <v>11</v>
      </c>
      <c r="P8" s="147" t="s">
        <v>983</v>
      </c>
      <c r="Q8" s="147" t="s">
        <v>984</v>
      </c>
      <c r="R8" s="147">
        <v>4</v>
      </c>
      <c r="S8" s="147" t="s">
        <v>983</v>
      </c>
      <c r="T8" s="147" t="s">
        <v>984</v>
      </c>
      <c r="U8" s="147">
        <v>571</v>
      </c>
      <c r="V8" s="147">
        <v>73</v>
      </c>
    </row>
    <row r="9" spans="1:22" ht="15" customHeight="1">
      <c r="A9" s="273">
        <v>3</v>
      </c>
      <c r="B9" s="261" t="s">
        <v>458</v>
      </c>
      <c r="C9" s="147">
        <v>1</v>
      </c>
      <c r="D9" s="147">
        <v>1972</v>
      </c>
      <c r="E9" s="147">
        <v>80</v>
      </c>
      <c r="F9" s="147">
        <v>1</v>
      </c>
      <c r="G9" s="147">
        <v>1972</v>
      </c>
      <c r="H9" s="147">
        <v>80</v>
      </c>
      <c r="I9" s="147" t="s">
        <v>408</v>
      </c>
      <c r="J9" s="147" t="s">
        <v>408</v>
      </c>
      <c r="K9" s="147" t="s">
        <v>408</v>
      </c>
      <c r="L9" s="147">
        <v>1</v>
      </c>
      <c r="M9" s="147">
        <v>1972</v>
      </c>
      <c r="N9" s="147">
        <v>80</v>
      </c>
      <c r="O9" s="147">
        <v>1.5</v>
      </c>
      <c r="P9" s="147">
        <v>1972</v>
      </c>
      <c r="Q9" s="147">
        <v>80</v>
      </c>
      <c r="R9" s="147">
        <v>4</v>
      </c>
      <c r="S9" s="147">
        <v>1972</v>
      </c>
      <c r="T9" s="147">
        <v>80</v>
      </c>
      <c r="U9" s="147">
        <v>26</v>
      </c>
      <c r="V9" s="147">
        <v>5</v>
      </c>
    </row>
    <row r="10" spans="1:22" ht="15" customHeight="1">
      <c r="A10" s="273">
        <v>4</v>
      </c>
      <c r="B10" s="261" t="s">
        <v>459</v>
      </c>
      <c r="C10" s="147">
        <v>1</v>
      </c>
      <c r="D10" s="147">
        <v>1968</v>
      </c>
      <c r="E10" s="147">
        <v>80</v>
      </c>
      <c r="F10" s="147" t="s">
        <v>408</v>
      </c>
      <c r="G10" s="147" t="s">
        <v>408</v>
      </c>
      <c r="H10" s="147" t="s">
        <v>408</v>
      </c>
      <c r="I10" s="147" t="s">
        <v>408</v>
      </c>
      <c r="J10" s="147" t="s">
        <v>408</v>
      </c>
      <c r="K10" s="147" t="s">
        <v>408</v>
      </c>
      <c r="L10" s="147">
        <v>1</v>
      </c>
      <c r="M10" s="147">
        <v>1968</v>
      </c>
      <c r="N10" s="147">
        <v>80</v>
      </c>
      <c r="O10" s="147">
        <v>24.3</v>
      </c>
      <c r="P10" s="147">
        <v>1968</v>
      </c>
      <c r="Q10" s="147">
        <v>80</v>
      </c>
      <c r="R10" s="147">
        <v>3</v>
      </c>
      <c r="S10" s="147">
        <v>1968</v>
      </c>
      <c r="T10" s="147">
        <v>80</v>
      </c>
      <c r="U10" s="147">
        <v>410</v>
      </c>
      <c r="V10" s="147">
        <v>80</v>
      </c>
    </row>
    <row r="11" spans="1:22" ht="15" customHeight="1">
      <c r="A11" s="273">
        <v>5</v>
      </c>
      <c r="B11" s="261" t="s">
        <v>460</v>
      </c>
      <c r="C11" s="147">
        <v>2</v>
      </c>
      <c r="D11" s="147">
        <v>1963</v>
      </c>
      <c r="E11" s="147">
        <v>85</v>
      </c>
      <c r="F11" s="147">
        <v>2</v>
      </c>
      <c r="G11" s="147">
        <v>1963</v>
      </c>
      <c r="H11" s="147">
        <v>85</v>
      </c>
      <c r="I11" s="147" t="s">
        <v>408</v>
      </c>
      <c r="J11" s="147" t="s">
        <v>408</v>
      </c>
      <c r="K11" s="147" t="s">
        <v>408</v>
      </c>
      <c r="L11" s="147">
        <v>2</v>
      </c>
      <c r="M11" s="147">
        <v>1963</v>
      </c>
      <c r="N11" s="147">
        <v>85</v>
      </c>
      <c r="O11" s="147">
        <v>9</v>
      </c>
      <c r="P11" s="147">
        <v>1963</v>
      </c>
      <c r="Q11" s="147">
        <v>85</v>
      </c>
      <c r="R11" s="147">
        <v>36</v>
      </c>
      <c r="S11" s="147">
        <v>1963</v>
      </c>
      <c r="T11" s="147">
        <v>85</v>
      </c>
      <c r="U11" s="147">
        <v>248</v>
      </c>
      <c r="V11" s="147">
        <v>53</v>
      </c>
    </row>
    <row r="12" spans="1:22" ht="15" customHeight="1">
      <c r="A12" s="273">
        <v>6</v>
      </c>
      <c r="B12" s="261" t="s">
        <v>461</v>
      </c>
      <c r="C12" s="147" t="s">
        <v>408</v>
      </c>
      <c r="D12" s="147" t="s">
        <v>408</v>
      </c>
      <c r="E12" s="147" t="s">
        <v>408</v>
      </c>
      <c r="F12" s="147" t="s">
        <v>408</v>
      </c>
      <c r="G12" s="147" t="s">
        <v>408</v>
      </c>
      <c r="H12" s="147" t="s">
        <v>408</v>
      </c>
      <c r="I12" s="147" t="s">
        <v>408</v>
      </c>
      <c r="J12" s="147" t="s">
        <v>408</v>
      </c>
      <c r="K12" s="147" t="s">
        <v>408</v>
      </c>
      <c r="L12" s="147">
        <v>3</v>
      </c>
      <c r="M12" s="147">
        <v>1978</v>
      </c>
      <c r="N12" s="147">
        <v>70</v>
      </c>
      <c r="O12" s="147">
        <v>17.5</v>
      </c>
      <c r="P12" s="147">
        <v>1978</v>
      </c>
      <c r="Q12" s="147">
        <v>70</v>
      </c>
      <c r="R12" s="147">
        <v>13</v>
      </c>
      <c r="S12" s="147">
        <v>1978</v>
      </c>
      <c r="T12" s="147">
        <v>70</v>
      </c>
      <c r="U12" s="147">
        <v>1031</v>
      </c>
      <c r="V12" s="147">
        <v>98</v>
      </c>
    </row>
    <row r="13" spans="1:22" ht="38.25" customHeight="1">
      <c r="A13" s="273">
        <v>7</v>
      </c>
      <c r="B13" s="261" t="s">
        <v>462</v>
      </c>
      <c r="C13" s="147">
        <v>5</v>
      </c>
      <c r="D13" s="147" t="s">
        <v>985</v>
      </c>
      <c r="E13" s="147">
        <v>80</v>
      </c>
      <c r="F13" s="147">
        <v>9</v>
      </c>
      <c r="G13" s="147" t="s">
        <v>985</v>
      </c>
      <c r="H13" s="147">
        <v>80</v>
      </c>
      <c r="I13" s="147" t="s">
        <v>408</v>
      </c>
      <c r="J13" s="147" t="s">
        <v>408</v>
      </c>
      <c r="K13" s="147" t="s">
        <v>408</v>
      </c>
      <c r="L13" s="147">
        <v>7</v>
      </c>
      <c r="M13" s="147" t="s">
        <v>985</v>
      </c>
      <c r="N13" s="147">
        <v>80</v>
      </c>
      <c r="O13" s="147">
        <v>37.7</v>
      </c>
      <c r="P13" s="147" t="s">
        <v>985</v>
      </c>
      <c r="Q13" s="147">
        <v>80</v>
      </c>
      <c r="R13" s="147">
        <v>20</v>
      </c>
      <c r="S13" s="147" t="s">
        <v>985</v>
      </c>
      <c r="T13" s="147">
        <v>80</v>
      </c>
      <c r="U13" s="147">
        <v>1236</v>
      </c>
      <c r="V13" s="147">
        <v>79</v>
      </c>
    </row>
    <row r="14" spans="1:22" ht="33" customHeight="1">
      <c r="A14" s="273">
        <v>8</v>
      </c>
      <c r="B14" s="261" t="s">
        <v>463</v>
      </c>
      <c r="C14" s="147">
        <v>5</v>
      </c>
      <c r="D14" s="147" t="s">
        <v>986</v>
      </c>
      <c r="E14" s="147">
        <v>70</v>
      </c>
      <c r="F14" s="147">
        <v>1</v>
      </c>
      <c r="G14" s="147">
        <v>1979</v>
      </c>
      <c r="H14" s="147">
        <v>70</v>
      </c>
      <c r="I14" s="147" t="s">
        <v>408</v>
      </c>
      <c r="J14" s="147" t="s">
        <v>408</v>
      </c>
      <c r="K14" s="147" t="s">
        <v>408</v>
      </c>
      <c r="L14" s="147">
        <v>1</v>
      </c>
      <c r="M14" s="147">
        <v>1979</v>
      </c>
      <c r="N14" s="147">
        <v>70</v>
      </c>
      <c r="O14" s="147">
        <v>26</v>
      </c>
      <c r="P14" s="147" t="s">
        <v>986</v>
      </c>
      <c r="Q14" s="147">
        <v>70</v>
      </c>
      <c r="R14" s="147">
        <v>9</v>
      </c>
      <c r="S14" s="147">
        <v>1960</v>
      </c>
      <c r="T14" s="147">
        <v>95</v>
      </c>
      <c r="U14" s="147">
        <v>601</v>
      </c>
      <c r="V14" s="147">
        <v>85</v>
      </c>
    </row>
    <row r="15" spans="1:22" ht="15" customHeight="1">
      <c r="A15" s="273">
        <v>9</v>
      </c>
      <c r="B15" s="261" t="s">
        <v>464</v>
      </c>
      <c r="C15" s="147">
        <v>1</v>
      </c>
      <c r="D15" s="147">
        <v>1980</v>
      </c>
      <c r="E15" s="147">
        <v>70</v>
      </c>
      <c r="F15" s="147">
        <v>1</v>
      </c>
      <c r="G15" s="147">
        <v>1980</v>
      </c>
      <c r="H15" s="147">
        <v>70</v>
      </c>
      <c r="I15" s="147" t="s">
        <v>408</v>
      </c>
      <c r="J15" s="147" t="s">
        <v>408</v>
      </c>
      <c r="K15" s="147" t="s">
        <v>408</v>
      </c>
      <c r="L15" s="147">
        <v>1</v>
      </c>
      <c r="M15" s="147">
        <v>1980</v>
      </c>
      <c r="N15" s="147">
        <v>70</v>
      </c>
      <c r="O15" s="147">
        <v>5.15</v>
      </c>
      <c r="P15" s="147" t="s">
        <v>987</v>
      </c>
      <c r="Q15" s="147">
        <v>70</v>
      </c>
      <c r="R15" s="147">
        <v>2</v>
      </c>
      <c r="S15" s="147" t="s">
        <v>987</v>
      </c>
      <c r="T15" s="147">
        <v>70</v>
      </c>
      <c r="U15" s="147">
        <v>376</v>
      </c>
      <c r="V15" s="147">
        <v>62</v>
      </c>
    </row>
    <row r="16" spans="1:22" ht="15" customHeight="1">
      <c r="A16" s="273">
        <v>10</v>
      </c>
      <c r="B16" s="261" t="s">
        <v>465</v>
      </c>
      <c r="C16" s="147">
        <v>2</v>
      </c>
      <c r="D16" s="147">
        <v>1963</v>
      </c>
      <c r="E16" s="147">
        <v>85</v>
      </c>
      <c r="F16" s="147">
        <v>2</v>
      </c>
      <c r="G16" s="147">
        <v>19636</v>
      </c>
      <c r="H16" s="147">
        <v>85</v>
      </c>
      <c r="I16" s="147" t="s">
        <v>408</v>
      </c>
      <c r="J16" s="147" t="s">
        <v>408</v>
      </c>
      <c r="K16" s="147" t="s">
        <v>408</v>
      </c>
      <c r="L16" s="147">
        <v>2</v>
      </c>
      <c r="M16" s="147">
        <v>1963</v>
      </c>
      <c r="N16" s="147">
        <v>82</v>
      </c>
      <c r="O16" s="147">
        <v>9</v>
      </c>
      <c r="P16" s="147">
        <v>1963</v>
      </c>
      <c r="Q16" s="147">
        <v>85</v>
      </c>
      <c r="R16" s="147">
        <v>12</v>
      </c>
      <c r="S16" s="147">
        <v>1963</v>
      </c>
      <c r="T16" s="147">
        <v>85</v>
      </c>
      <c r="U16" s="147">
        <v>439</v>
      </c>
      <c r="V16" s="147">
        <v>69</v>
      </c>
    </row>
    <row r="17" spans="1:22" ht="15" customHeight="1">
      <c r="A17" s="273">
        <v>11</v>
      </c>
      <c r="B17" s="261" t="s">
        <v>466</v>
      </c>
      <c r="C17" s="147">
        <v>5</v>
      </c>
      <c r="D17" s="147" t="s">
        <v>988</v>
      </c>
      <c r="E17" s="147">
        <v>70</v>
      </c>
      <c r="F17" s="147">
        <v>5</v>
      </c>
      <c r="G17" s="147" t="s">
        <v>988</v>
      </c>
      <c r="H17" s="147">
        <v>70</v>
      </c>
      <c r="I17" s="147" t="s">
        <v>408</v>
      </c>
      <c r="J17" s="147" t="s">
        <v>408</v>
      </c>
      <c r="K17" s="147" t="s">
        <v>408</v>
      </c>
      <c r="L17" s="147"/>
      <c r="M17" s="147"/>
      <c r="N17" s="147"/>
      <c r="O17" s="147">
        <v>30</v>
      </c>
      <c r="P17" s="147" t="s">
        <v>988</v>
      </c>
      <c r="Q17" s="147">
        <v>70</v>
      </c>
      <c r="R17" s="147">
        <v>9</v>
      </c>
      <c r="S17" s="147" t="s">
        <v>988</v>
      </c>
      <c r="T17" s="147">
        <v>70</v>
      </c>
      <c r="U17" s="147">
        <v>409</v>
      </c>
      <c r="V17" s="147">
        <v>54</v>
      </c>
    </row>
    <row r="18" spans="1:22" ht="36.75" customHeight="1">
      <c r="A18" s="273">
        <v>12</v>
      </c>
      <c r="B18" s="261" t="s">
        <v>467</v>
      </c>
      <c r="C18" s="147">
        <v>2</v>
      </c>
      <c r="D18" s="147">
        <v>2012</v>
      </c>
      <c r="E18" s="147">
        <v>0</v>
      </c>
      <c r="F18" s="147">
        <v>2</v>
      </c>
      <c r="G18" s="147">
        <v>2012</v>
      </c>
      <c r="H18" s="147">
        <v>0</v>
      </c>
      <c r="I18" s="147" t="s">
        <v>408</v>
      </c>
      <c r="J18" s="147" t="s">
        <v>408</v>
      </c>
      <c r="K18" s="147" t="s">
        <v>408</v>
      </c>
      <c r="L18" s="147">
        <v>5</v>
      </c>
      <c r="M18" s="147" t="s">
        <v>989</v>
      </c>
      <c r="N18" s="147" t="s">
        <v>990</v>
      </c>
      <c r="O18" s="147">
        <v>12.3</v>
      </c>
      <c r="P18" s="147" t="s">
        <v>989</v>
      </c>
      <c r="Q18" s="147" t="s">
        <v>990</v>
      </c>
      <c r="R18" s="147">
        <v>14</v>
      </c>
      <c r="S18" s="147">
        <v>1979</v>
      </c>
      <c r="T18" s="147">
        <v>70</v>
      </c>
      <c r="U18" s="147">
        <v>303</v>
      </c>
      <c r="V18" s="147">
        <v>30</v>
      </c>
    </row>
    <row r="19" spans="1:22" ht="15" customHeight="1">
      <c r="A19" s="273">
        <v>13</v>
      </c>
      <c r="B19" s="261" t="s">
        <v>468</v>
      </c>
      <c r="C19" s="147">
        <v>2</v>
      </c>
      <c r="D19" s="147">
        <v>1973</v>
      </c>
      <c r="E19" s="147">
        <v>70</v>
      </c>
      <c r="F19" s="147">
        <v>2</v>
      </c>
      <c r="G19" s="147">
        <v>1973</v>
      </c>
      <c r="H19" s="147">
        <v>70</v>
      </c>
      <c r="I19" s="147" t="s">
        <v>408</v>
      </c>
      <c r="J19" s="147" t="s">
        <v>408</v>
      </c>
      <c r="K19" s="147" t="s">
        <v>408</v>
      </c>
      <c r="L19" s="147">
        <v>2</v>
      </c>
      <c r="M19" s="147">
        <v>1973</v>
      </c>
      <c r="N19" s="147">
        <v>70</v>
      </c>
      <c r="O19" s="147">
        <v>4.1</v>
      </c>
      <c r="P19" s="147">
        <v>1973</v>
      </c>
      <c r="Q19" s="147">
        <v>70</v>
      </c>
      <c r="R19" s="147">
        <v>78</v>
      </c>
      <c r="S19" s="147">
        <v>1973</v>
      </c>
      <c r="T19" s="147">
        <v>70</v>
      </c>
      <c r="U19" s="147">
        <v>202</v>
      </c>
      <c r="V19" s="147">
        <v>29</v>
      </c>
    </row>
    <row r="20" spans="1:25" s="292" customFormat="1" ht="27" customHeight="1">
      <c r="A20" s="258"/>
      <c r="B20" s="264" t="s">
        <v>541</v>
      </c>
      <c r="C20" s="146">
        <f>SUM(C7:C19)</f>
        <v>33</v>
      </c>
      <c r="D20" s="146" t="s">
        <v>4</v>
      </c>
      <c r="E20" s="219">
        <f>(E7+85+70+E9+E10+E11+E13+E14+E15+E16+E17+E19)/11</f>
        <v>84.0909090909091</v>
      </c>
      <c r="F20" s="146">
        <f>SUM(F7:F19)</f>
        <v>31</v>
      </c>
      <c r="G20" s="146" t="s">
        <v>4</v>
      </c>
      <c r="H20" s="219">
        <f>(H7+85+70+H9+H11+H13+H14+H15+H16+H17+H19)/10</f>
        <v>84.5</v>
      </c>
      <c r="I20" s="146">
        <f>SUM(I7:I19)</f>
        <v>0</v>
      </c>
      <c r="J20" s="146" t="s">
        <v>4</v>
      </c>
      <c r="K20" s="146" t="s">
        <v>408</v>
      </c>
      <c r="L20" s="146">
        <f>SUM(L7:L19)</f>
        <v>31</v>
      </c>
      <c r="M20" s="146" t="s">
        <v>4</v>
      </c>
      <c r="N20" s="219">
        <f>(N7+85+70+N9+N10+N11+N13+N14+N15+N16+N17+N19)/11</f>
        <v>77.45454545454545</v>
      </c>
      <c r="O20" s="146">
        <f>SUM(O7:O19)</f>
        <v>208.75</v>
      </c>
      <c r="P20" s="146" t="s">
        <v>4</v>
      </c>
      <c r="Q20" s="219">
        <f>(Q7+85+70+Q9+Q10+Q11+Q13+Q14+Q15+Q16+Q17+Q19)/11</f>
        <v>84.0909090909091</v>
      </c>
      <c r="R20" s="146">
        <f>SUM(R7:R19)</f>
        <v>208</v>
      </c>
      <c r="S20" s="146" t="s">
        <v>4</v>
      </c>
      <c r="T20" s="219">
        <f>(T7+85+70+T9+T10+T11+T13+T14+T15+T16+T17+T19)/11</f>
        <v>86.36363636363636</v>
      </c>
      <c r="U20" s="146">
        <f>SUM(U7:U19)</f>
        <v>6302</v>
      </c>
      <c r="V20" s="219">
        <f>U20/9902*100</f>
        <v>63.64370834174914</v>
      </c>
      <c r="Y20" s="292">
        <f>(E20+N20+Q20+T20)/4</f>
        <v>83</v>
      </c>
    </row>
  </sheetData>
  <sheetProtection/>
  <mergeCells count="10">
    <mergeCell ref="U4:V4"/>
    <mergeCell ref="A2:V2"/>
    <mergeCell ref="U1:V1"/>
    <mergeCell ref="R4:T4"/>
    <mergeCell ref="L4:N4"/>
    <mergeCell ref="O4:Q4"/>
    <mergeCell ref="A4:A5"/>
    <mergeCell ref="C4:E4"/>
    <mergeCell ref="F4:H4"/>
    <mergeCell ref="I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68"/>
  <sheetViews>
    <sheetView zoomScalePageLayoutView="0" workbookViewId="0" topLeftCell="A55">
      <selection activeCell="J69" sqref="J69"/>
    </sheetView>
  </sheetViews>
  <sheetFormatPr defaultColWidth="9.00390625" defaultRowHeight="12.75"/>
  <cols>
    <col min="1" max="1" width="4.75390625" style="267" customWidth="1"/>
    <col min="2" max="2" width="40.375" style="267" customWidth="1"/>
    <col min="3" max="3" width="8.00390625" style="269" customWidth="1"/>
    <col min="4" max="4" width="6.625" style="267" customWidth="1"/>
    <col min="5" max="11" width="9.125" style="267" customWidth="1"/>
    <col min="12" max="12" width="10.125" style="267" customWidth="1"/>
    <col min="13" max="16384" width="9.125" style="267" customWidth="1"/>
  </cols>
  <sheetData>
    <row r="1" ht="15">
      <c r="L1" s="329" t="s">
        <v>650</v>
      </c>
    </row>
    <row r="2" spans="2:12" ht="15.75">
      <c r="B2" s="446" t="s">
        <v>649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4" spans="1:12" ht="22.5" customHeight="1">
      <c r="A4" s="422" t="s">
        <v>107</v>
      </c>
      <c r="B4" s="422" t="s">
        <v>577</v>
      </c>
      <c r="C4" s="422" t="s">
        <v>578</v>
      </c>
      <c r="D4" s="422" t="s">
        <v>579</v>
      </c>
      <c r="E4" s="422" t="s">
        <v>580</v>
      </c>
      <c r="F4" s="422"/>
      <c r="G4" s="422"/>
      <c r="H4" s="422"/>
      <c r="I4" s="422"/>
      <c r="J4" s="422"/>
      <c r="K4" s="422"/>
      <c r="L4" s="422" t="s">
        <v>581</v>
      </c>
    </row>
    <row r="5" spans="1:12" ht="16.5" customHeight="1">
      <c r="A5" s="422"/>
      <c r="B5" s="422"/>
      <c r="C5" s="422"/>
      <c r="D5" s="422"/>
      <c r="E5" s="258">
        <v>2014</v>
      </c>
      <c r="F5" s="258">
        <v>2015</v>
      </c>
      <c r="G5" s="258">
        <v>2016</v>
      </c>
      <c r="H5" s="258">
        <v>2017</v>
      </c>
      <c r="I5" s="258">
        <v>2018</v>
      </c>
      <c r="J5" s="258">
        <v>2019</v>
      </c>
      <c r="K5" s="258">
        <v>2020</v>
      </c>
      <c r="L5" s="422"/>
    </row>
    <row r="6" spans="1:12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</row>
    <row r="7" spans="1:12" ht="12.75">
      <c r="A7" s="258">
        <v>1</v>
      </c>
      <c r="B7" s="422" t="s">
        <v>582</v>
      </c>
      <c r="C7" s="422"/>
      <c r="D7" s="422"/>
      <c r="E7" s="422"/>
      <c r="F7" s="422"/>
      <c r="G7" s="422"/>
      <c r="H7" s="422"/>
      <c r="I7" s="422"/>
      <c r="J7" s="422"/>
      <c r="K7" s="422"/>
      <c r="L7" s="259"/>
    </row>
    <row r="8" spans="1:12" ht="16.5" customHeight="1">
      <c r="A8" s="280" t="s">
        <v>429</v>
      </c>
      <c r="B8" s="261" t="s">
        <v>583</v>
      </c>
      <c r="C8" s="273" t="s">
        <v>584</v>
      </c>
      <c r="D8" s="293">
        <v>9902</v>
      </c>
      <c r="E8" s="293">
        <f>D8+2</f>
        <v>9904</v>
      </c>
      <c r="F8" s="293">
        <f aca="true" t="shared" si="0" ref="F8:K8">E8+2</f>
        <v>9906</v>
      </c>
      <c r="G8" s="293">
        <f t="shared" si="0"/>
        <v>9908</v>
      </c>
      <c r="H8" s="293">
        <f t="shared" si="0"/>
        <v>9910</v>
      </c>
      <c r="I8" s="293">
        <f t="shared" si="0"/>
        <v>9912</v>
      </c>
      <c r="J8" s="293">
        <f t="shared" si="0"/>
        <v>9914</v>
      </c>
      <c r="K8" s="293">
        <f t="shared" si="0"/>
        <v>9916</v>
      </c>
      <c r="L8" s="298">
        <f>K8/D8*100</f>
        <v>100.14138557867098</v>
      </c>
    </row>
    <row r="9" spans="1:12" ht="25.5">
      <c r="A9" s="280" t="s">
        <v>430</v>
      </c>
      <c r="B9" s="261" t="s">
        <v>585</v>
      </c>
      <c r="C9" s="273" t="s">
        <v>584</v>
      </c>
      <c r="D9" s="293">
        <v>6122</v>
      </c>
      <c r="E9" s="293">
        <v>6112</v>
      </c>
      <c r="F9" s="293">
        <v>6102</v>
      </c>
      <c r="G9" s="293">
        <v>6092</v>
      </c>
      <c r="H9" s="293">
        <v>6062</v>
      </c>
      <c r="I9" s="293">
        <v>6047</v>
      </c>
      <c r="J9" s="293">
        <v>6032</v>
      </c>
      <c r="K9" s="293">
        <v>6032</v>
      </c>
      <c r="L9" s="298">
        <f>K9/D9*100</f>
        <v>98.52989219209408</v>
      </c>
    </row>
    <row r="10" spans="1:12" ht="27.75" customHeight="1">
      <c r="A10" s="280" t="s">
        <v>431</v>
      </c>
      <c r="B10" s="261" t="s">
        <v>586</v>
      </c>
      <c r="C10" s="273"/>
      <c r="D10" s="293">
        <v>0.89</v>
      </c>
      <c r="E10" s="293">
        <v>0.9</v>
      </c>
      <c r="F10" s="293">
        <v>0.92</v>
      </c>
      <c r="G10" s="293">
        <v>0.93</v>
      </c>
      <c r="H10" s="293">
        <v>0.95</v>
      </c>
      <c r="I10" s="293">
        <v>0.96</v>
      </c>
      <c r="J10" s="293">
        <v>0.97</v>
      </c>
      <c r="K10" s="293">
        <v>0.98</v>
      </c>
      <c r="L10" s="298">
        <f>K10/D10*100</f>
        <v>110.1123595505618</v>
      </c>
    </row>
    <row r="11" spans="1:12" ht="25.5">
      <c r="A11" s="280" t="s">
        <v>432</v>
      </c>
      <c r="B11" s="261" t="s">
        <v>587</v>
      </c>
      <c r="C11" s="273"/>
      <c r="D11" s="293">
        <v>2.37</v>
      </c>
      <c r="E11" s="293">
        <v>2.42</v>
      </c>
      <c r="F11" s="293">
        <v>2.46</v>
      </c>
      <c r="G11" s="293">
        <v>2.49</v>
      </c>
      <c r="H11" s="293">
        <v>2.5</v>
      </c>
      <c r="I11" s="293">
        <v>2.55</v>
      </c>
      <c r="J11" s="293">
        <v>2.59</v>
      </c>
      <c r="K11" s="293">
        <v>2.62</v>
      </c>
      <c r="L11" s="298">
        <f>K11/D11*100</f>
        <v>110.54852320675106</v>
      </c>
    </row>
    <row r="12" spans="1:12" ht="12.75">
      <c r="A12" s="258">
        <v>2</v>
      </c>
      <c r="B12" s="422" t="s">
        <v>588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</row>
    <row r="13" spans="1:12" ht="13.5">
      <c r="A13" s="281" t="s">
        <v>645</v>
      </c>
      <c r="B13" s="452" t="s">
        <v>589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</row>
    <row r="14" spans="1:12" ht="38.25" customHeight="1">
      <c r="A14" s="450" t="s">
        <v>646</v>
      </c>
      <c r="B14" s="261" t="s">
        <v>590</v>
      </c>
      <c r="C14" s="273" t="s">
        <v>419</v>
      </c>
      <c r="D14" s="293">
        <v>11</v>
      </c>
      <c r="E14" s="293">
        <v>10</v>
      </c>
      <c r="F14" s="293">
        <v>11</v>
      </c>
      <c r="G14" s="293">
        <v>10</v>
      </c>
      <c r="H14" s="293">
        <v>8</v>
      </c>
      <c r="I14" s="293">
        <v>9</v>
      </c>
      <c r="J14" s="293">
        <v>9</v>
      </c>
      <c r="K14" s="293">
        <v>9</v>
      </c>
      <c r="L14" s="298">
        <f>K14/D14*100</f>
        <v>81.81818181818183</v>
      </c>
    </row>
    <row r="15" spans="1:12" ht="25.5">
      <c r="A15" s="450"/>
      <c r="B15" s="261" t="s">
        <v>591</v>
      </c>
      <c r="C15" s="273" t="s">
        <v>419</v>
      </c>
      <c r="D15" s="293">
        <v>6</v>
      </c>
      <c r="E15" s="293">
        <v>6</v>
      </c>
      <c r="F15" s="293">
        <v>7</v>
      </c>
      <c r="G15" s="293">
        <v>6</v>
      </c>
      <c r="H15" s="293">
        <v>5</v>
      </c>
      <c r="I15" s="293">
        <v>6</v>
      </c>
      <c r="J15" s="293">
        <v>6</v>
      </c>
      <c r="K15" s="293">
        <v>6</v>
      </c>
      <c r="L15" s="298">
        <f>K15/D15*100</f>
        <v>100</v>
      </c>
    </row>
    <row r="16" spans="1:12" ht="24.75" customHeight="1">
      <c r="A16" s="450" t="s">
        <v>647</v>
      </c>
      <c r="B16" s="261" t="s">
        <v>592</v>
      </c>
      <c r="C16" s="273" t="s">
        <v>593</v>
      </c>
      <c r="D16" s="293">
        <v>0.1876</v>
      </c>
      <c r="E16" s="315">
        <v>0.228</v>
      </c>
      <c r="F16" s="315">
        <v>0.306</v>
      </c>
      <c r="G16" s="315">
        <v>0.324</v>
      </c>
      <c r="H16" s="315">
        <v>0.45</v>
      </c>
      <c r="I16" s="315">
        <v>0.378</v>
      </c>
      <c r="J16" s="315">
        <v>0.378</v>
      </c>
      <c r="K16" s="315">
        <v>0.486</v>
      </c>
      <c r="L16" s="293" t="s">
        <v>594</v>
      </c>
    </row>
    <row r="17" spans="1:12" ht="25.5">
      <c r="A17" s="450"/>
      <c r="B17" s="261" t="s">
        <v>595</v>
      </c>
      <c r="C17" s="273" t="s">
        <v>593</v>
      </c>
      <c r="D17" s="293">
        <v>0.0662</v>
      </c>
      <c r="E17" s="293">
        <v>0.096</v>
      </c>
      <c r="F17" s="293">
        <v>0.162</v>
      </c>
      <c r="G17" s="293">
        <v>0.162</v>
      </c>
      <c r="H17" s="293">
        <v>0.288</v>
      </c>
      <c r="I17" s="293">
        <v>0.162</v>
      </c>
      <c r="J17" s="293">
        <v>0.162</v>
      </c>
      <c r="K17" s="293">
        <v>0.324</v>
      </c>
      <c r="L17" s="293" t="s">
        <v>596</v>
      </c>
    </row>
    <row r="18" spans="1:12" ht="26.25" customHeight="1">
      <c r="A18" s="450" t="s">
        <v>648</v>
      </c>
      <c r="B18" s="261" t="s">
        <v>597</v>
      </c>
      <c r="C18" s="273" t="s">
        <v>419</v>
      </c>
      <c r="D18" s="293">
        <v>2</v>
      </c>
      <c r="E18" s="293"/>
      <c r="F18" s="293">
        <f>5+4</f>
        <v>9</v>
      </c>
      <c r="G18" s="293">
        <v>6</v>
      </c>
      <c r="H18" s="293">
        <v>6</v>
      </c>
      <c r="I18" s="293">
        <v>7</v>
      </c>
      <c r="J18" s="293">
        <v>7</v>
      </c>
      <c r="K18" s="293">
        <v>9</v>
      </c>
      <c r="L18" s="293" t="s">
        <v>598</v>
      </c>
    </row>
    <row r="19" spans="1:12" ht="26.25" customHeight="1">
      <c r="A19" s="450"/>
      <c r="B19" s="261" t="s">
        <v>591</v>
      </c>
      <c r="C19" s="273" t="s">
        <v>419</v>
      </c>
      <c r="D19" s="293">
        <v>1</v>
      </c>
      <c r="E19" s="293"/>
      <c r="F19" s="293">
        <f>3+2</f>
        <v>5</v>
      </c>
      <c r="G19" s="293">
        <v>3</v>
      </c>
      <c r="H19" s="293">
        <v>4</v>
      </c>
      <c r="I19" s="293">
        <v>3</v>
      </c>
      <c r="J19" s="293">
        <v>3</v>
      </c>
      <c r="K19" s="293">
        <v>6</v>
      </c>
      <c r="L19" s="293" t="s">
        <v>599</v>
      </c>
    </row>
    <row r="20" spans="1:16" ht="15.75" customHeight="1">
      <c r="A20" s="281" t="s">
        <v>651</v>
      </c>
      <c r="B20" s="452" t="s">
        <v>600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P20" s="267">
        <f>9/11*100</f>
        <v>81.81818181818183</v>
      </c>
    </row>
    <row r="21" spans="1:16" ht="24.75" customHeight="1">
      <c r="A21" s="280" t="s">
        <v>652</v>
      </c>
      <c r="B21" s="261" t="s">
        <v>601</v>
      </c>
      <c r="C21" s="273" t="s">
        <v>422</v>
      </c>
      <c r="D21" s="293">
        <v>848</v>
      </c>
      <c r="E21" s="293">
        <v>803</v>
      </c>
      <c r="F21" s="293">
        <v>790</v>
      </c>
      <c r="G21" s="293">
        <v>785</v>
      </c>
      <c r="H21" s="293">
        <v>787</v>
      </c>
      <c r="I21" s="293">
        <v>784</v>
      </c>
      <c r="J21" s="293">
        <v>780</v>
      </c>
      <c r="K21" s="293">
        <v>781</v>
      </c>
      <c r="L21" s="298">
        <f>K21/D21*100</f>
        <v>92.09905660377359</v>
      </c>
      <c r="P21" s="267">
        <f>100-P20</f>
        <v>18.181818181818173</v>
      </c>
    </row>
    <row r="22" spans="1:13" ht="29.25" customHeight="1">
      <c r="A22" s="280" t="s">
        <v>653</v>
      </c>
      <c r="B22" s="261" t="s">
        <v>602</v>
      </c>
      <c r="C22" s="273" t="s">
        <v>422</v>
      </c>
      <c r="D22" s="293">
        <v>848</v>
      </c>
      <c r="E22" s="293">
        <v>803</v>
      </c>
      <c r="F22" s="293">
        <v>790</v>
      </c>
      <c r="G22" s="293">
        <v>785</v>
      </c>
      <c r="H22" s="293">
        <v>787</v>
      </c>
      <c r="I22" s="293">
        <v>784</v>
      </c>
      <c r="J22" s="293">
        <v>780</v>
      </c>
      <c r="K22" s="293">
        <v>781</v>
      </c>
      <c r="L22" s="298">
        <f>K22/D22*100</f>
        <v>92.09905660377359</v>
      </c>
      <c r="M22" t="s">
        <v>3</v>
      </c>
    </row>
    <row r="23" spans="1:12" ht="38.25" customHeight="1">
      <c r="A23" s="280" t="s">
        <v>603</v>
      </c>
      <c r="B23" s="261" t="s">
        <v>604</v>
      </c>
      <c r="C23" s="273" t="s">
        <v>422</v>
      </c>
      <c r="D23" s="293" t="s">
        <v>408</v>
      </c>
      <c r="E23" s="293" t="s">
        <v>408</v>
      </c>
      <c r="F23" s="293" t="s">
        <v>408</v>
      </c>
      <c r="G23" s="293" t="s">
        <v>408</v>
      </c>
      <c r="H23" s="293" t="s">
        <v>408</v>
      </c>
      <c r="I23" s="293" t="s">
        <v>408</v>
      </c>
      <c r="J23" s="293" t="s">
        <v>408</v>
      </c>
      <c r="K23" s="293" t="s">
        <v>408</v>
      </c>
      <c r="L23" s="293" t="s">
        <v>408</v>
      </c>
    </row>
    <row r="24" spans="1:12" ht="25.5">
      <c r="A24" s="280" t="s">
        <v>654</v>
      </c>
      <c r="B24" s="261" t="s">
        <v>605</v>
      </c>
      <c r="C24" s="273" t="s">
        <v>606</v>
      </c>
      <c r="D24" s="293" t="s">
        <v>408</v>
      </c>
      <c r="E24" s="293" t="s">
        <v>408</v>
      </c>
      <c r="F24" s="293" t="s">
        <v>408</v>
      </c>
      <c r="G24" s="293" t="s">
        <v>408</v>
      </c>
      <c r="H24" s="293" t="s">
        <v>408</v>
      </c>
      <c r="I24" s="293" t="s">
        <v>408</v>
      </c>
      <c r="J24" s="293" t="s">
        <v>408</v>
      </c>
      <c r="K24" s="293" t="s">
        <v>408</v>
      </c>
      <c r="L24" s="293" t="s">
        <v>408</v>
      </c>
    </row>
    <row r="25" spans="1:12" ht="15" customHeight="1">
      <c r="A25" s="281" t="s">
        <v>655</v>
      </c>
      <c r="B25" s="452" t="s">
        <v>607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</row>
    <row r="26" spans="1:12" ht="13.5" customHeight="1">
      <c r="A26" s="450" t="s">
        <v>656</v>
      </c>
      <c r="B26" s="261" t="s">
        <v>608</v>
      </c>
      <c r="C26" s="273" t="s">
        <v>419</v>
      </c>
      <c r="D26" s="293">
        <v>20</v>
      </c>
      <c r="E26" s="293">
        <v>20</v>
      </c>
      <c r="F26" s="293">
        <v>20</v>
      </c>
      <c r="G26" s="293">
        <v>20</v>
      </c>
      <c r="H26" s="293">
        <v>20</v>
      </c>
      <c r="I26" s="293">
        <v>20</v>
      </c>
      <c r="J26" s="293">
        <v>20</v>
      </c>
      <c r="K26" s="293">
        <v>20</v>
      </c>
      <c r="L26" s="298">
        <f>K26/D26*100</f>
        <v>100</v>
      </c>
    </row>
    <row r="27" spans="1:12" ht="25.5">
      <c r="A27" s="450"/>
      <c r="B27" s="261" t="s">
        <v>609</v>
      </c>
      <c r="C27" s="273" t="s">
        <v>419</v>
      </c>
      <c r="D27" s="293" t="s">
        <v>408</v>
      </c>
      <c r="E27" s="293" t="s">
        <v>408</v>
      </c>
      <c r="F27" s="293" t="s">
        <v>408</v>
      </c>
      <c r="G27" s="293" t="s">
        <v>408</v>
      </c>
      <c r="H27" s="293" t="s">
        <v>408</v>
      </c>
      <c r="I27" s="293" t="s">
        <v>408</v>
      </c>
      <c r="J27" s="293" t="s">
        <v>408</v>
      </c>
      <c r="K27" s="293" t="s">
        <v>408</v>
      </c>
      <c r="L27" s="298" t="s">
        <v>408</v>
      </c>
    </row>
    <row r="28" spans="1:12" ht="26.25" customHeight="1">
      <c r="A28" s="450" t="s">
        <v>657</v>
      </c>
      <c r="B28" s="282" t="s">
        <v>610</v>
      </c>
      <c r="C28" s="283" t="s">
        <v>419</v>
      </c>
      <c r="D28" s="327">
        <v>3</v>
      </c>
      <c r="E28" s="327">
        <v>3</v>
      </c>
      <c r="F28" s="327">
        <v>3</v>
      </c>
      <c r="G28" s="327">
        <v>3</v>
      </c>
      <c r="H28" s="327">
        <v>3</v>
      </c>
      <c r="I28" s="327">
        <v>3</v>
      </c>
      <c r="J28" s="327">
        <v>3</v>
      </c>
      <c r="K28" s="327">
        <v>3</v>
      </c>
      <c r="L28" s="298">
        <f>K28/D28*100</f>
        <v>100</v>
      </c>
    </row>
    <row r="29" spans="1:12" ht="25.5">
      <c r="A29" s="450"/>
      <c r="B29" s="261" t="s">
        <v>609</v>
      </c>
      <c r="C29" s="273" t="s">
        <v>419</v>
      </c>
      <c r="D29" s="293" t="s">
        <v>408</v>
      </c>
      <c r="E29" s="293" t="s">
        <v>408</v>
      </c>
      <c r="F29" s="293" t="s">
        <v>408</v>
      </c>
      <c r="G29" s="293" t="s">
        <v>408</v>
      </c>
      <c r="H29" s="293" t="s">
        <v>408</v>
      </c>
      <c r="I29" s="293" t="s">
        <v>408</v>
      </c>
      <c r="J29" s="293" t="s">
        <v>408</v>
      </c>
      <c r="K29" s="293" t="s">
        <v>408</v>
      </c>
      <c r="L29" s="293" t="s">
        <v>408</v>
      </c>
    </row>
    <row r="30" spans="1:12" ht="15" customHeight="1">
      <c r="A30" s="280" t="s">
        <v>658</v>
      </c>
      <c r="B30" s="261" t="s">
        <v>611</v>
      </c>
      <c r="C30" s="273" t="s">
        <v>419</v>
      </c>
      <c r="D30" s="293" t="s">
        <v>408</v>
      </c>
      <c r="E30" s="293" t="s">
        <v>408</v>
      </c>
      <c r="F30" s="293" t="s">
        <v>408</v>
      </c>
      <c r="G30" s="293" t="s">
        <v>408</v>
      </c>
      <c r="H30" s="293" t="s">
        <v>408</v>
      </c>
      <c r="I30" s="293" t="s">
        <v>408</v>
      </c>
      <c r="J30" s="293" t="s">
        <v>408</v>
      </c>
      <c r="K30" s="293" t="s">
        <v>408</v>
      </c>
      <c r="L30" s="293" t="s">
        <v>408</v>
      </c>
    </row>
    <row r="31" spans="1:12" ht="26.25" customHeight="1">
      <c r="A31" s="280" t="s">
        <v>659</v>
      </c>
      <c r="B31" s="261" t="s">
        <v>612</v>
      </c>
      <c r="C31" s="273" t="s">
        <v>419</v>
      </c>
      <c r="D31" s="293" t="s">
        <v>408</v>
      </c>
      <c r="E31" s="293" t="s">
        <v>408</v>
      </c>
      <c r="F31" s="293" t="s">
        <v>408</v>
      </c>
      <c r="G31" s="293" t="s">
        <v>408</v>
      </c>
      <c r="H31" s="293" t="s">
        <v>408</v>
      </c>
      <c r="I31" s="293" t="s">
        <v>408</v>
      </c>
      <c r="J31" s="293" t="s">
        <v>408</v>
      </c>
      <c r="K31" s="293" t="s">
        <v>408</v>
      </c>
      <c r="L31" s="293" t="s">
        <v>408</v>
      </c>
    </row>
    <row r="32" spans="1:12" ht="25.5">
      <c r="A32" s="280" t="s">
        <v>660</v>
      </c>
      <c r="B32" s="261" t="s">
        <v>613</v>
      </c>
      <c r="C32" s="273" t="s">
        <v>422</v>
      </c>
      <c r="D32" s="293" t="s">
        <v>408</v>
      </c>
      <c r="E32" s="293" t="s">
        <v>408</v>
      </c>
      <c r="F32" s="293" t="s">
        <v>408</v>
      </c>
      <c r="G32" s="293" t="s">
        <v>408</v>
      </c>
      <c r="H32" s="293" t="s">
        <v>408</v>
      </c>
      <c r="I32" s="293" t="s">
        <v>408</v>
      </c>
      <c r="J32" s="293" t="s">
        <v>408</v>
      </c>
      <c r="K32" s="293" t="s">
        <v>408</v>
      </c>
      <c r="L32" s="293" t="s">
        <v>408</v>
      </c>
    </row>
    <row r="33" spans="1:12" ht="27.75" customHeight="1">
      <c r="A33" s="280" t="s">
        <v>661</v>
      </c>
      <c r="B33" s="261" t="s">
        <v>614</v>
      </c>
      <c r="C33" s="273" t="s">
        <v>422</v>
      </c>
      <c r="D33" s="293" t="s">
        <v>408</v>
      </c>
      <c r="E33" s="293" t="s">
        <v>408</v>
      </c>
      <c r="F33" s="293" t="s">
        <v>408</v>
      </c>
      <c r="G33" s="293" t="s">
        <v>408</v>
      </c>
      <c r="H33" s="293" t="s">
        <v>408</v>
      </c>
      <c r="I33" s="293" t="s">
        <v>408</v>
      </c>
      <c r="J33" s="293" t="s">
        <v>408</v>
      </c>
      <c r="K33" s="293" t="s">
        <v>408</v>
      </c>
      <c r="L33" s="293" t="s">
        <v>408</v>
      </c>
    </row>
    <row r="34" spans="1:12" ht="15" customHeight="1">
      <c r="A34" s="281" t="s">
        <v>662</v>
      </c>
      <c r="B34" s="452" t="s">
        <v>615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</row>
    <row r="35" spans="1:12" ht="14.25" customHeight="1">
      <c r="A35" s="450" t="s">
        <v>663</v>
      </c>
      <c r="B35" s="451" t="s">
        <v>616</v>
      </c>
      <c r="C35" s="273" t="s">
        <v>419</v>
      </c>
      <c r="D35" s="293">
        <v>32</v>
      </c>
      <c r="E35" s="293">
        <v>33</v>
      </c>
      <c r="F35" s="293">
        <v>34</v>
      </c>
      <c r="G35" s="293">
        <v>35</v>
      </c>
      <c r="H35" s="293">
        <v>36</v>
      </c>
      <c r="I35" s="293">
        <v>38</v>
      </c>
      <c r="J35" s="293">
        <v>39</v>
      </c>
      <c r="K35" s="293">
        <v>40</v>
      </c>
      <c r="L35" s="298">
        <f>K35/D35*100</f>
        <v>125</v>
      </c>
    </row>
    <row r="36" spans="1:12" ht="12.75">
      <c r="A36" s="450"/>
      <c r="B36" s="451"/>
      <c r="C36" s="273" t="s">
        <v>617</v>
      </c>
      <c r="D36" s="293">
        <v>85033</v>
      </c>
      <c r="E36" s="293">
        <v>85195</v>
      </c>
      <c r="F36" s="293">
        <v>86085</v>
      </c>
      <c r="G36" s="293">
        <v>86247</v>
      </c>
      <c r="H36" s="293">
        <v>86622</v>
      </c>
      <c r="I36" s="293">
        <v>87159</v>
      </c>
      <c r="J36" s="293">
        <v>88049</v>
      </c>
      <c r="K36" s="293">
        <v>88949</v>
      </c>
      <c r="L36" s="298">
        <f>K36/D36*100</f>
        <v>104.60527089482908</v>
      </c>
    </row>
    <row r="37" spans="1:12" ht="13.5" customHeight="1">
      <c r="A37" s="450"/>
      <c r="B37" s="451" t="s">
        <v>609</v>
      </c>
      <c r="C37" s="273" t="s">
        <v>419</v>
      </c>
      <c r="D37" s="293" t="s">
        <v>408</v>
      </c>
      <c r="E37" s="293" t="s">
        <v>408</v>
      </c>
      <c r="F37" s="293" t="s">
        <v>408</v>
      </c>
      <c r="G37" s="293" t="s">
        <v>408</v>
      </c>
      <c r="H37" s="293" t="s">
        <v>408</v>
      </c>
      <c r="I37" s="293" t="s">
        <v>408</v>
      </c>
      <c r="J37" s="293" t="s">
        <v>408</v>
      </c>
      <c r="K37" s="293" t="s">
        <v>408</v>
      </c>
      <c r="L37" s="293" t="s">
        <v>408</v>
      </c>
    </row>
    <row r="38" spans="1:12" ht="12.75">
      <c r="A38" s="450"/>
      <c r="B38" s="451"/>
      <c r="C38" s="273" t="s">
        <v>617</v>
      </c>
      <c r="D38" s="293" t="s">
        <v>408</v>
      </c>
      <c r="E38" s="293" t="s">
        <v>408</v>
      </c>
      <c r="F38" s="293" t="s">
        <v>408</v>
      </c>
      <c r="G38" s="293" t="s">
        <v>408</v>
      </c>
      <c r="H38" s="293" t="s">
        <v>408</v>
      </c>
      <c r="I38" s="293" t="s">
        <v>408</v>
      </c>
      <c r="J38" s="293" t="s">
        <v>408</v>
      </c>
      <c r="K38" s="293" t="s">
        <v>408</v>
      </c>
      <c r="L38" s="293" t="s">
        <v>408</v>
      </c>
    </row>
    <row r="39" spans="1:12" ht="15" customHeight="1">
      <c r="A39" s="450" t="s">
        <v>664</v>
      </c>
      <c r="B39" s="451" t="s">
        <v>618</v>
      </c>
      <c r="C39" s="273" t="s">
        <v>419</v>
      </c>
      <c r="D39" s="293" t="s">
        <v>408</v>
      </c>
      <c r="E39" s="293" t="s">
        <v>408</v>
      </c>
      <c r="F39" s="293" t="s">
        <v>408</v>
      </c>
      <c r="G39" s="293" t="s">
        <v>408</v>
      </c>
      <c r="H39" s="293" t="s">
        <v>408</v>
      </c>
      <c r="I39" s="293" t="s">
        <v>408</v>
      </c>
      <c r="J39" s="293" t="s">
        <v>408</v>
      </c>
      <c r="K39" s="293" t="s">
        <v>408</v>
      </c>
      <c r="L39" s="293" t="s">
        <v>408</v>
      </c>
    </row>
    <row r="40" spans="1:12" ht="12.75">
      <c r="A40" s="450"/>
      <c r="B40" s="451"/>
      <c r="C40" s="273" t="s">
        <v>617</v>
      </c>
      <c r="D40" s="293" t="s">
        <v>408</v>
      </c>
      <c r="E40" s="293" t="s">
        <v>408</v>
      </c>
      <c r="F40" s="293" t="s">
        <v>408</v>
      </c>
      <c r="G40" s="293" t="s">
        <v>408</v>
      </c>
      <c r="H40" s="293" t="s">
        <v>408</v>
      </c>
      <c r="I40" s="293" t="s">
        <v>408</v>
      </c>
      <c r="J40" s="293" t="s">
        <v>408</v>
      </c>
      <c r="K40" s="293" t="s">
        <v>408</v>
      </c>
      <c r="L40" s="293" t="s">
        <v>408</v>
      </c>
    </row>
    <row r="41" spans="1:12" ht="27" customHeight="1">
      <c r="A41" s="280" t="s">
        <v>665</v>
      </c>
      <c r="B41" s="261" t="s">
        <v>619</v>
      </c>
      <c r="C41" s="273" t="s">
        <v>422</v>
      </c>
      <c r="D41" s="293" t="s">
        <v>408</v>
      </c>
      <c r="E41" s="293" t="s">
        <v>408</v>
      </c>
      <c r="F41" s="293" t="s">
        <v>408</v>
      </c>
      <c r="G41" s="293" t="s">
        <v>408</v>
      </c>
      <c r="H41" s="293" t="s">
        <v>408</v>
      </c>
      <c r="I41" s="293" t="s">
        <v>408</v>
      </c>
      <c r="J41" s="293" t="s">
        <v>408</v>
      </c>
      <c r="K41" s="293" t="s">
        <v>408</v>
      </c>
      <c r="L41" s="293" t="s">
        <v>408</v>
      </c>
    </row>
    <row r="42" spans="1:12" ht="14.25" customHeight="1">
      <c r="A42" s="281" t="s">
        <v>666</v>
      </c>
      <c r="B42" s="452" t="s">
        <v>620</v>
      </c>
      <c r="C42" s="452"/>
      <c r="D42" s="452"/>
      <c r="E42" s="452"/>
      <c r="F42" s="452"/>
      <c r="G42" s="452"/>
      <c r="H42" s="452"/>
      <c r="I42" s="452"/>
      <c r="J42" s="452"/>
      <c r="K42" s="452"/>
      <c r="L42" s="452"/>
    </row>
    <row r="43" spans="1:12" ht="14.25" customHeight="1">
      <c r="A43" s="450" t="s">
        <v>667</v>
      </c>
      <c r="B43" s="451" t="s">
        <v>621</v>
      </c>
      <c r="C43" s="273" t="s">
        <v>419</v>
      </c>
      <c r="D43" s="293">
        <v>13</v>
      </c>
      <c r="E43" s="293">
        <v>13</v>
      </c>
      <c r="F43" s="293">
        <v>13</v>
      </c>
      <c r="G43" s="293">
        <v>13</v>
      </c>
      <c r="H43" s="293">
        <v>13</v>
      </c>
      <c r="I43" s="293">
        <v>13</v>
      </c>
      <c r="J43" s="293">
        <v>13</v>
      </c>
      <c r="K43" s="293">
        <v>13</v>
      </c>
      <c r="L43" s="298">
        <f>K43/D43*100</f>
        <v>100</v>
      </c>
    </row>
    <row r="44" spans="1:12" ht="12.75">
      <c r="A44" s="450"/>
      <c r="B44" s="451"/>
      <c r="C44" s="273" t="s">
        <v>606</v>
      </c>
      <c r="D44" s="293">
        <v>3109</v>
      </c>
      <c r="E44" s="293">
        <v>3109</v>
      </c>
      <c r="F44" s="293">
        <v>3109</v>
      </c>
      <c r="G44" s="293">
        <v>3109</v>
      </c>
      <c r="H44" s="293">
        <v>3109</v>
      </c>
      <c r="I44" s="293">
        <v>3109</v>
      </c>
      <c r="J44" s="293">
        <v>3109</v>
      </c>
      <c r="K44" s="293">
        <v>3109</v>
      </c>
      <c r="L44" s="298">
        <f>K44/D44*100</f>
        <v>100</v>
      </c>
    </row>
    <row r="45" spans="1:12" ht="13.5" customHeight="1">
      <c r="A45" s="450"/>
      <c r="B45" s="451" t="s">
        <v>622</v>
      </c>
      <c r="C45" s="273" t="s">
        <v>419</v>
      </c>
      <c r="D45" s="293" t="s">
        <v>408</v>
      </c>
      <c r="E45" s="293" t="s">
        <v>408</v>
      </c>
      <c r="F45" s="293" t="s">
        <v>408</v>
      </c>
      <c r="G45" s="293" t="s">
        <v>408</v>
      </c>
      <c r="H45" s="293" t="s">
        <v>408</v>
      </c>
      <c r="I45" s="293" t="s">
        <v>408</v>
      </c>
      <c r="J45" s="293" t="s">
        <v>408</v>
      </c>
      <c r="K45" s="293" t="s">
        <v>408</v>
      </c>
      <c r="L45" s="293" t="s">
        <v>408</v>
      </c>
    </row>
    <row r="46" spans="1:12" ht="12.75">
      <c r="A46" s="450"/>
      <c r="B46" s="451"/>
      <c r="C46" s="273" t="s">
        <v>606</v>
      </c>
      <c r="D46" s="293" t="s">
        <v>408</v>
      </c>
      <c r="E46" s="293" t="s">
        <v>408</v>
      </c>
      <c r="F46" s="293" t="s">
        <v>408</v>
      </c>
      <c r="G46" s="293" t="s">
        <v>408</v>
      </c>
      <c r="H46" s="293" t="s">
        <v>408</v>
      </c>
      <c r="I46" s="293" t="s">
        <v>408</v>
      </c>
      <c r="J46" s="293" t="s">
        <v>408</v>
      </c>
      <c r="K46" s="293" t="s">
        <v>408</v>
      </c>
      <c r="L46" s="293" t="s">
        <v>408</v>
      </c>
    </row>
    <row r="47" spans="1:12" ht="12" customHeight="1">
      <c r="A47" s="450" t="s">
        <v>668</v>
      </c>
      <c r="B47" s="451" t="s">
        <v>623</v>
      </c>
      <c r="C47" s="273" t="s">
        <v>419</v>
      </c>
      <c r="D47" s="293" t="s">
        <v>408</v>
      </c>
      <c r="E47" s="293" t="s">
        <v>408</v>
      </c>
      <c r="F47" s="293" t="s">
        <v>408</v>
      </c>
      <c r="G47" s="293" t="s">
        <v>408</v>
      </c>
      <c r="H47" s="293" t="s">
        <v>408</v>
      </c>
      <c r="I47" s="293" t="s">
        <v>408</v>
      </c>
      <c r="J47" s="293" t="s">
        <v>408</v>
      </c>
      <c r="K47" s="293" t="s">
        <v>408</v>
      </c>
      <c r="L47" s="293" t="s">
        <v>408</v>
      </c>
    </row>
    <row r="48" spans="1:12" ht="12.75">
      <c r="A48" s="450"/>
      <c r="B48" s="451"/>
      <c r="C48" s="273" t="s">
        <v>606</v>
      </c>
      <c r="D48" s="293" t="s">
        <v>408</v>
      </c>
      <c r="E48" s="293" t="s">
        <v>408</v>
      </c>
      <c r="F48" s="293" t="s">
        <v>408</v>
      </c>
      <c r="G48" s="293" t="s">
        <v>408</v>
      </c>
      <c r="H48" s="293" t="s">
        <v>408</v>
      </c>
      <c r="I48" s="293" t="s">
        <v>408</v>
      </c>
      <c r="J48" s="293" t="s">
        <v>408</v>
      </c>
      <c r="K48" s="293" t="s">
        <v>408</v>
      </c>
      <c r="L48" s="293" t="s">
        <v>408</v>
      </c>
    </row>
    <row r="49" spans="1:12" ht="26.25" customHeight="1">
      <c r="A49" s="280" t="s">
        <v>669</v>
      </c>
      <c r="B49" s="261" t="s">
        <v>624</v>
      </c>
      <c r="C49" s="273" t="s">
        <v>422</v>
      </c>
      <c r="D49" s="293" t="s">
        <v>408</v>
      </c>
      <c r="E49" s="293" t="s">
        <v>408</v>
      </c>
      <c r="F49" s="293" t="s">
        <v>408</v>
      </c>
      <c r="G49" s="293" t="s">
        <v>408</v>
      </c>
      <c r="H49" s="293" t="s">
        <v>408</v>
      </c>
      <c r="I49" s="293" t="s">
        <v>408</v>
      </c>
      <c r="J49" s="293" t="s">
        <v>408</v>
      </c>
      <c r="K49" s="293" t="s">
        <v>408</v>
      </c>
      <c r="L49" s="293" t="s">
        <v>408</v>
      </c>
    </row>
    <row r="50" spans="1:12" ht="13.5">
      <c r="A50" s="281" t="s">
        <v>670</v>
      </c>
      <c r="B50" s="452" t="s">
        <v>625</v>
      </c>
      <c r="C50" s="452"/>
      <c r="D50" s="452"/>
      <c r="E50" s="452"/>
      <c r="F50" s="452"/>
      <c r="G50" s="452"/>
      <c r="H50" s="452"/>
      <c r="I50" s="452"/>
      <c r="J50" s="452"/>
      <c r="K50" s="452"/>
      <c r="L50" s="452"/>
    </row>
    <row r="51" spans="1:12" ht="25.5">
      <c r="A51" s="280" t="s">
        <v>671</v>
      </c>
      <c r="B51" s="261" t="s">
        <v>626</v>
      </c>
      <c r="C51" s="273" t="s">
        <v>627</v>
      </c>
      <c r="D51" s="337">
        <v>5.302</v>
      </c>
      <c r="E51" s="357"/>
      <c r="F51" s="357">
        <f>7.3+9</f>
        <v>16.3</v>
      </c>
      <c r="G51" s="357">
        <v>7</v>
      </c>
      <c r="H51" s="357">
        <v>3.8</v>
      </c>
      <c r="I51" s="357"/>
      <c r="J51" s="357"/>
      <c r="K51" s="357"/>
      <c r="L51" s="357">
        <f>K51/D51*100</f>
        <v>0</v>
      </c>
    </row>
    <row r="52" spans="1:12" ht="13.5" customHeight="1">
      <c r="A52" s="280" t="s">
        <v>672</v>
      </c>
      <c r="B52" s="261" t="s">
        <v>628</v>
      </c>
      <c r="C52" s="273" t="s">
        <v>417</v>
      </c>
      <c r="D52" s="337">
        <v>36</v>
      </c>
      <c r="E52" s="337">
        <v>38</v>
      </c>
      <c r="F52" s="337">
        <v>40</v>
      </c>
      <c r="G52" s="337">
        <v>42</v>
      </c>
      <c r="H52" s="337">
        <v>44</v>
      </c>
      <c r="I52" s="337">
        <v>46</v>
      </c>
      <c r="J52" s="337">
        <v>48</v>
      </c>
      <c r="K52" s="337">
        <v>50</v>
      </c>
      <c r="L52" s="357">
        <f>K52/D52*100</f>
        <v>138.88888888888889</v>
      </c>
    </row>
    <row r="53" spans="1:12" ht="27" customHeight="1">
      <c r="A53" s="280" t="s">
        <v>673</v>
      </c>
      <c r="B53" s="261" t="s">
        <v>629</v>
      </c>
      <c r="C53" s="273" t="s">
        <v>417</v>
      </c>
      <c r="D53" s="337">
        <v>74</v>
      </c>
      <c r="E53" s="337">
        <v>76</v>
      </c>
      <c r="F53" s="337">
        <v>78</v>
      </c>
      <c r="G53" s="337">
        <v>80</v>
      </c>
      <c r="H53" s="337">
        <v>82</v>
      </c>
      <c r="I53" s="337">
        <v>84</v>
      </c>
      <c r="J53" s="337">
        <v>86</v>
      </c>
      <c r="K53" s="337">
        <v>88</v>
      </c>
      <c r="L53" s="357">
        <f>K53/D53*100</f>
        <v>118.91891891891892</v>
      </c>
    </row>
    <row r="54" spans="1:12" ht="13.5">
      <c r="A54" s="281" t="s">
        <v>674</v>
      </c>
      <c r="B54" s="452" t="s">
        <v>630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</row>
    <row r="55" spans="1:12" ht="24" customHeight="1">
      <c r="A55" s="280" t="s">
        <v>675</v>
      </c>
      <c r="B55" s="261" t="s">
        <v>631</v>
      </c>
      <c r="C55" s="273" t="s">
        <v>627</v>
      </c>
      <c r="D55" s="325">
        <v>2.177</v>
      </c>
      <c r="E55" s="360">
        <v>0.02</v>
      </c>
      <c r="F55" s="326">
        <v>25</v>
      </c>
      <c r="G55" s="326">
        <v>19</v>
      </c>
      <c r="H55" s="325">
        <v>18.5</v>
      </c>
      <c r="I55" s="326">
        <v>10</v>
      </c>
      <c r="J55" s="325">
        <v>1.5</v>
      </c>
      <c r="K55" s="325"/>
      <c r="L55" s="326">
        <f>K55/D55*100</f>
        <v>0</v>
      </c>
    </row>
    <row r="56" spans="1:12" ht="17.25" customHeight="1">
      <c r="A56" s="280" t="s">
        <v>676</v>
      </c>
      <c r="B56" s="261" t="s">
        <v>632</v>
      </c>
      <c r="C56" s="273" t="s">
        <v>417</v>
      </c>
      <c r="D56" s="325">
        <v>80</v>
      </c>
      <c r="E56" s="325">
        <v>82</v>
      </c>
      <c r="F56" s="325">
        <v>84</v>
      </c>
      <c r="G56" s="325">
        <v>86</v>
      </c>
      <c r="H56" s="325">
        <v>88</v>
      </c>
      <c r="I56" s="325">
        <v>90</v>
      </c>
      <c r="J56" s="325">
        <v>92</v>
      </c>
      <c r="K56" s="325">
        <v>94</v>
      </c>
      <c r="L56" s="326">
        <f>K56/D56*100</f>
        <v>117.5</v>
      </c>
    </row>
    <row r="57" spans="1:12" ht="28.5" customHeight="1">
      <c r="A57" s="280" t="s">
        <v>677</v>
      </c>
      <c r="B57" s="261" t="s">
        <v>633</v>
      </c>
      <c r="C57" s="273" t="s">
        <v>417</v>
      </c>
      <c r="D57" s="325">
        <v>67</v>
      </c>
      <c r="E57" s="325">
        <f>D57+0.5</f>
        <v>67.5</v>
      </c>
      <c r="F57" s="325">
        <f aca="true" t="shared" si="1" ref="F57:K57">E57+0.5</f>
        <v>68</v>
      </c>
      <c r="G57" s="325">
        <f t="shared" si="1"/>
        <v>68.5</v>
      </c>
      <c r="H57" s="325">
        <f t="shared" si="1"/>
        <v>69</v>
      </c>
      <c r="I57" s="325">
        <f t="shared" si="1"/>
        <v>69.5</v>
      </c>
      <c r="J57" s="325">
        <f t="shared" si="1"/>
        <v>70</v>
      </c>
      <c r="K57" s="325">
        <f t="shared" si="1"/>
        <v>70.5</v>
      </c>
      <c r="L57" s="326">
        <f>K57/D57*100</f>
        <v>105.22388059701493</v>
      </c>
    </row>
    <row r="58" spans="1:12" ht="13.5" customHeight="1">
      <c r="A58" s="284">
        <v>3</v>
      </c>
      <c r="B58" s="422" t="s">
        <v>634</v>
      </c>
      <c r="C58" s="422"/>
      <c r="D58" s="422"/>
      <c r="E58" s="422"/>
      <c r="F58" s="422"/>
      <c r="G58" s="422"/>
      <c r="H58" s="422"/>
      <c r="I58" s="422"/>
      <c r="J58" s="422"/>
      <c r="K58" s="422"/>
      <c r="L58" s="422"/>
    </row>
    <row r="59" spans="1:12" ht="38.25">
      <c r="A59" s="280" t="s">
        <v>678</v>
      </c>
      <c r="B59" s="261" t="s">
        <v>635</v>
      </c>
      <c r="C59" s="273" t="s">
        <v>636</v>
      </c>
      <c r="D59" s="325" t="s">
        <v>408</v>
      </c>
      <c r="E59" s="325" t="s">
        <v>408</v>
      </c>
      <c r="F59" s="325">
        <v>1</v>
      </c>
      <c r="G59" s="325">
        <v>1</v>
      </c>
      <c r="H59" s="325">
        <v>1</v>
      </c>
      <c r="I59" s="325">
        <v>1</v>
      </c>
      <c r="J59" s="325">
        <v>1</v>
      </c>
      <c r="K59" s="325">
        <v>1</v>
      </c>
      <c r="L59" s="298" t="s">
        <v>3</v>
      </c>
    </row>
    <row r="60" spans="1:12" ht="24.75" customHeight="1">
      <c r="A60" s="280" t="s">
        <v>679</v>
      </c>
      <c r="B60" s="261" t="s">
        <v>637</v>
      </c>
      <c r="C60" s="273" t="s">
        <v>813</v>
      </c>
      <c r="D60" s="325" t="s">
        <v>408</v>
      </c>
      <c r="E60" s="325" t="s">
        <v>408</v>
      </c>
      <c r="F60" s="325">
        <v>1.3</v>
      </c>
      <c r="G60" s="325">
        <v>2.6</v>
      </c>
      <c r="H60" s="325">
        <v>4.2</v>
      </c>
      <c r="I60" s="325">
        <v>2.9</v>
      </c>
      <c r="J60" s="325">
        <v>3.6</v>
      </c>
      <c r="K60" s="325">
        <v>0.5</v>
      </c>
      <c r="L60" s="298" t="s">
        <v>3</v>
      </c>
    </row>
    <row r="61" spans="1:12" ht="12" customHeight="1">
      <c r="A61" s="284">
        <v>4</v>
      </c>
      <c r="B61" s="422" t="s">
        <v>638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2"/>
    </row>
    <row r="62" spans="1:12" ht="25.5">
      <c r="A62" s="280" t="s">
        <v>680</v>
      </c>
      <c r="B62" s="277" t="s">
        <v>639</v>
      </c>
      <c r="C62" s="273" t="s">
        <v>419</v>
      </c>
      <c r="D62" s="294" t="s">
        <v>408</v>
      </c>
      <c r="E62" s="294" t="s">
        <v>408</v>
      </c>
      <c r="F62" s="294" t="s">
        <v>408</v>
      </c>
      <c r="G62" s="293">
        <v>1</v>
      </c>
      <c r="H62" s="294" t="s">
        <v>408</v>
      </c>
      <c r="I62" s="294" t="s">
        <v>408</v>
      </c>
      <c r="J62" s="294" t="s">
        <v>408</v>
      </c>
      <c r="K62" s="294" t="s">
        <v>408</v>
      </c>
      <c r="L62" s="294"/>
    </row>
    <row r="63" spans="1:12" ht="26.25" customHeight="1">
      <c r="A63" s="280" t="s">
        <v>681</v>
      </c>
      <c r="B63" s="277" t="s">
        <v>640</v>
      </c>
      <c r="C63" s="273" t="s">
        <v>422</v>
      </c>
      <c r="D63" s="294" t="s">
        <v>408</v>
      </c>
      <c r="E63" s="294" t="s">
        <v>408</v>
      </c>
      <c r="F63" s="294" t="s">
        <v>408</v>
      </c>
      <c r="G63" s="293">
        <v>5</v>
      </c>
      <c r="H63" s="294" t="s">
        <v>408</v>
      </c>
      <c r="I63" s="294" t="s">
        <v>408</v>
      </c>
      <c r="J63" s="294" t="s">
        <v>408</v>
      </c>
      <c r="K63" s="294" t="s">
        <v>408</v>
      </c>
      <c r="L63" s="294"/>
    </row>
    <row r="64" spans="1:12" ht="15" customHeight="1">
      <c r="A64" s="284">
        <v>5</v>
      </c>
      <c r="B64" s="422" t="s">
        <v>641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</row>
    <row r="65" spans="1:14" ht="15.75" customHeight="1">
      <c r="A65" s="280" t="s">
        <v>682</v>
      </c>
      <c r="B65" s="277" t="s">
        <v>642</v>
      </c>
      <c r="C65" s="273" t="s">
        <v>419</v>
      </c>
      <c r="D65" s="293">
        <v>4</v>
      </c>
      <c r="E65" s="293">
        <v>4</v>
      </c>
      <c r="F65" s="293">
        <v>4</v>
      </c>
      <c r="G65" s="293">
        <v>4</v>
      </c>
      <c r="H65" s="293">
        <v>4</v>
      </c>
      <c r="I65" s="293">
        <v>4</v>
      </c>
      <c r="J65" s="293">
        <v>4</v>
      </c>
      <c r="K65" s="293">
        <v>4</v>
      </c>
      <c r="L65" s="298">
        <f>K65/D65*100</f>
        <v>100</v>
      </c>
      <c r="N65" s="267">
        <f>40/10</f>
        <v>4</v>
      </c>
    </row>
    <row r="66" spans="1:12" ht="12.75">
      <c r="A66" s="284">
        <v>6</v>
      </c>
      <c r="B66" s="422" t="s">
        <v>643</v>
      </c>
      <c r="C66" s="422"/>
      <c r="D66" s="422"/>
      <c r="E66" s="422"/>
      <c r="F66" s="422"/>
      <c r="G66" s="422"/>
      <c r="H66" s="422"/>
      <c r="I66" s="422"/>
      <c r="J66" s="422"/>
      <c r="K66" s="422"/>
      <c r="L66" s="422"/>
    </row>
    <row r="67" spans="1:12" ht="12.75">
      <c r="A67" s="280" t="s">
        <v>683</v>
      </c>
      <c r="B67" s="277" t="s">
        <v>644</v>
      </c>
      <c r="C67" s="273" t="s">
        <v>419</v>
      </c>
      <c r="D67" s="293">
        <v>10</v>
      </c>
      <c r="E67" s="293">
        <v>15</v>
      </c>
      <c r="F67" s="293">
        <v>20</v>
      </c>
      <c r="G67" s="293">
        <v>25</v>
      </c>
      <c r="H67" s="293">
        <v>30</v>
      </c>
      <c r="I67" s="293">
        <v>35</v>
      </c>
      <c r="J67" s="293">
        <v>40</v>
      </c>
      <c r="K67" s="293">
        <v>40</v>
      </c>
      <c r="L67" s="298" t="s">
        <v>993</v>
      </c>
    </row>
    <row r="68" ht="12.75">
      <c r="A68" s="279"/>
    </row>
  </sheetData>
  <sheetProtection/>
  <mergeCells count="35">
    <mergeCell ref="B12:L12"/>
    <mergeCell ref="B13:L13"/>
    <mergeCell ref="A14:A15"/>
    <mergeCell ref="L4:L5"/>
    <mergeCell ref="B7:K7"/>
    <mergeCell ref="A4:A5"/>
    <mergeCell ref="B4:B5"/>
    <mergeCell ref="C4:C5"/>
    <mergeCell ref="D4:D5"/>
    <mergeCell ref="E4:K4"/>
    <mergeCell ref="B25:L25"/>
    <mergeCell ref="A26:A27"/>
    <mergeCell ref="A28:A29"/>
    <mergeCell ref="B20:L20"/>
    <mergeCell ref="A16:A17"/>
    <mergeCell ref="A18:A19"/>
    <mergeCell ref="B39:B40"/>
    <mergeCell ref="B42:L42"/>
    <mergeCell ref="A43:A46"/>
    <mergeCell ref="B43:B44"/>
    <mergeCell ref="B45:B46"/>
    <mergeCell ref="B34:L34"/>
    <mergeCell ref="A35:A38"/>
    <mergeCell ref="B35:B36"/>
    <mergeCell ref="B37:B38"/>
    <mergeCell ref="B64:L64"/>
    <mergeCell ref="B66:L66"/>
    <mergeCell ref="B2:L2"/>
    <mergeCell ref="A47:A48"/>
    <mergeCell ref="B47:B48"/>
    <mergeCell ref="B50:L50"/>
    <mergeCell ref="B54:L54"/>
    <mergeCell ref="B58:L58"/>
    <mergeCell ref="B61:L61"/>
    <mergeCell ref="A39:A40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24"/>
  <sheetViews>
    <sheetView zoomScalePageLayoutView="0" workbookViewId="0" topLeftCell="A10">
      <selection activeCell="G17" sqref="G17"/>
    </sheetView>
  </sheetViews>
  <sheetFormatPr defaultColWidth="9.00390625" defaultRowHeight="12.75"/>
  <cols>
    <col min="1" max="1" width="5.125" style="0" customWidth="1"/>
    <col min="2" max="2" width="46.25390625" style="0" customWidth="1"/>
    <col min="3" max="3" width="8.125" style="0" customWidth="1"/>
  </cols>
  <sheetData>
    <row r="1" spans="10:11" ht="15">
      <c r="J1" s="449" t="s">
        <v>700</v>
      </c>
      <c r="K1" s="449"/>
    </row>
    <row r="2" spans="1:11" s="275" customFormat="1" ht="28.5" customHeight="1">
      <c r="A2" s="438" t="s">
        <v>699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8" customHeight="1">
      <c r="A4" s="429" t="s">
        <v>107</v>
      </c>
      <c r="B4" s="422" t="s">
        <v>402</v>
      </c>
      <c r="C4" s="429" t="s">
        <v>578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430"/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29.25" customHeight="1">
      <c r="A7" s="422">
        <v>1</v>
      </c>
      <c r="B7" s="302" t="s">
        <v>687</v>
      </c>
      <c r="C7" s="455" t="s">
        <v>422</v>
      </c>
      <c r="D7" s="453">
        <f>SUM(E7:K8)</f>
        <v>22</v>
      </c>
      <c r="E7" s="453">
        <f>SUM(E9:E11)</f>
        <v>1</v>
      </c>
      <c r="F7" s="453">
        <f aca="true" t="shared" si="0" ref="F7:K7">SUM(F9:F11)</f>
        <v>2</v>
      </c>
      <c r="G7" s="453">
        <f t="shared" si="0"/>
        <v>3</v>
      </c>
      <c r="H7" s="453">
        <f t="shared" si="0"/>
        <v>4</v>
      </c>
      <c r="I7" s="453">
        <f t="shared" si="0"/>
        <v>4</v>
      </c>
      <c r="J7" s="453">
        <f t="shared" si="0"/>
        <v>4</v>
      </c>
      <c r="K7" s="453">
        <f t="shared" si="0"/>
        <v>4</v>
      </c>
    </row>
    <row r="8" spans="1:11" ht="15.75" customHeight="1">
      <c r="A8" s="422"/>
      <c r="B8" s="259" t="s">
        <v>688</v>
      </c>
      <c r="C8" s="455"/>
      <c r="D8" s="453"/>
      <c r="E8" s="453"/>
      <c r="F8" s="453"/>
      <c r="G8" s="453"/>
      <c r="H8" s="453"/>
      <c r="I8" s="453"/>
      <c r="J8" s="453"/>
      <c r="K8" s="453"/>
    </row>
    <row r="9" spans="1:11" ht="12.75">
      <c r="A9" s="280" t="s">
        <v>429</v>
      </c>
      <c r="B9" s="261" t="s">
        <v>483</v>
      </c>
      <c r="C9" s="264" t="s">
        <v>422</v>
      </c>
      <c r="D9" s="293">
        <f>SUM(E9:K9)</f>
        <v>10</v>
      </c>
      <c r="E9" s="293" t="s">
        <v>408</v>
      </c>
      <c r="F9" s="293">
        <v>1</v>
      </c>
      <c r="G9" s="293">
        <v>1</v>
      </c>
      <c r="H9" s="293">
        <v>2</v>
      </c>
      <c r="I9" s="293">
        <v>2</v>
      </c>
      <c r="J9" s="293">
        <v>2</v>
      </c>
      <c r="K9" s="293">
        <v>2</v>
      </c>
    </row>
    <row r="10" spans="1:11" ht="12.75">
      <c r="A10" s="280" t="s">
        <v>430</v>
      </c>
      <c r="B10" s="261" t="s">
        <v>488</v>
      </c>
      <c r="C10" s="264" t="s">
        <v>422</v>
      </c>
      <c r="D10" s="293">
        <f>SUM(E10:K10)</f>
        <v>5</v>
      </c>
      <c r="E10" s="293" t="s">
        <v>408</v>
      </c>
      <c r="F10" s="293" t="s">
        <v>408</v>
      </c>
      <c r="G10" s="293">
        <v>1</v>
      </c>
      <c r="H10" s="293">
        <v>1</v>
      </c>
      <c r="I10" s="293">
        <v>1</v>
      </c>
      <c r="J10" s="293">
        <v>1</v>
      </c>
      <c r="K10" s="293">
        <v>1</v>
      </c>
    </row>
    <row r="11" spans="1:11" ht="12.75">
      <c r="A11" s="280" t="s">
        <v>431</v>
      </c>
      <c r="B11" s="261" t="s">
        <v>493</v>
      </c>
      <c r="C11" s="264" t="s">
        <v>422</v>
      </c>
      <c r="D11" s="293">
        <f>SUM(E11:K11)</f>
        <v>7</v>
      </c>
      <c r="E11" s="293">
        <v>1</v>
      </c>
      <c r="F11" s="293">
        <v>1</v>
      </c>
      <c r="G11" s="293">
        <v>1</v>
      </c>
      <c r="H11" s="293">
        <v>1</v>
      </c>
      <c r="I11" s="293">
        <v>1</v>
      </c>
      <c r="J11" s="293">
        <v>1</v>
      </c>
      <c r="K11" s="293">
        <v>1</v>
      </c>
    </row>
    <row r="12" spans="1:11" ht="27" customHeight="1">
      <c r="A12" s="422" t="s">
        <v>60</v>
      </c>
      <c r="B12" s="302" t="s">
        <v>689</v>
      </c>
      <c r="C12" s="455" t="s">
        <v>422</v>
      </c>
      <c r="D12" s="453">
        <f>SUM(E12:K13)</f>
        <v>1</v>
      </c>
      <c r="E12" s="453">
        <f>E14</f>
        <v>1</v>
      </c>
      <c r="F12" s="453">
        <v>0</v>
      </c>
      <c r="G12" s="453">
        <v>0</v>
      </c>
      <c r="H12" s="453">
        <v>0</v>
      </c>
      <c r="I12" s="453">
        <v>0</v>
      </c>
      <c r="J12" s="453">
        <v>0</v>
      </c>
      <c r="K12" s="453">
        <v>0</v>
      </c>
    </row>
    <row r="13" spans="1:11" ht="12" customHeight="1">
      <c r="A13" s="422"/>
      <c r="B13" s="259" t="s">
        <v>688</v>
      </c>
      <c r="C13" s="455"/>
      <c r="D13" s="453"/>
      <c r="E13" s="453"/>
      <c r="F13" s="453"/>
      <c r="G13" s="453"/>
      <c r="H13" s="453"/>
      <c r="I13" s="453"/>
      <c r="J13" s="453"/>
      <c r="K13" s="453"/>
    </row>
    <row r="14" spans="1:11" ht="15" customHeight="1">
      <c r="A14" s="280" t="s">
        <v>645</v>
      </c>
      <c r="B14" s="277" t="s">
        <v>690</v>
      </c>
      <c r="C14" s="264" t="s">
        <v>422</v>
      </c>
      <c r="D14" s="293">
        <f>SUM(E14:K14)</f>
        <v>1</v>
      </c>
      <c r="E14" s="293">
        <v>1</v>
      </c>
      <c r="F14" s="293" t="s">
        <v>408</v>
      </c>
      <c r="G14" s="293" t="s">
        <v>408</v>
      </c>
      <c r="H14" s="293" t="s">
        <v>408</v>
      </c>
      <c r="I14" s="293" t="s">
        <v>408</v>
      </c>
      <c r="J14" s="293" t="s">
        <v>408</v>
      </c>
      <c r="K14" s="293" t="s">
        <v>408</v>
      </c>
    </row>
    <row r="15" spans="1:11" ht="25.5" customHeight="1">
      <c r="A15" s="422">
        <v>3</v>
      </c>
      <c r="B15" s="302" t="s">
        <v>691</v>
      </c>
      <c r="C15" s="455" t="s">
        <v>422</v>
      </c>
      <c r="D15" s="453">
        <f>SUM(E15:K15)</f>
        <v>6</v>
      </c>
      <c r="E15" s="453">
        <f>E17</f>
        <v>4</v>
      </c>
      <c r="F15" s="453">
        <f aca="true" t="shared" si="1" ref="F15:K15">F17</f>
        <v>1</v>
      </c>
      <c r="G15" s="453">
        <f t="shared" si="1"/>
        <v>1</v>
      </c>
      <c r="H15" s="453">
        <f t="shared" si="1"/>
        <v>0</v>
      </c>
      <c r="I15" s="453">
        <f t="shared" si="1"/>
        <v>0</v>
      </c>
      <c r="J15" s="453">
        <f t="shared" si="1"/>
        <v>0</v>
      </c>
      <c r="K15" s="453">
        <f t="shared" si="1"/>
        <v>0</v>
      </c>
    </row>
    <row r="16" spans="1:11" ht="13.5" customHeight="1">
      <c r="A16" s="422"/>
      <c r="B16" s="264" t="s">
        <v>692</v>
      </c>
      <c r="C16" s="455"/>
      <c r="D16" s="453">
        <f>SUM(E16:K16)</f>
        <v>0</v>
      </c>
      <c r="E16" s="453"/>
      <c r="F16" s="453"/>
      <c r="G16" s="453"/>
      <c r="H16" s="453"/>
      <c r="I16" s="453"/>
      <c r="J16" s="453"/>
      <c r="K16" s="453"/>
    </row>
    <row r="17" spans="1:11" ht="14.25" customHeight="1">
      <c r="A17" s="280" t="s">
        <v>678</v>
      </c>
      <c r="B17" s="277" t="s">
        <v>992</v>
      </c>
      <c r="C17" s="264" t="s">
        <v>422</v>
      </c>
      <c r="D17" s="293">
        <f>SUM(E17:K17)</f>
        <v>6</v>
      </c>
      <c r="E17" s="293">
        <v>4</v>
      </c>
      <c r="F17" s="293">
        <v>1</v>
      </c>
      <c r="G17" s="293">
        <v>1</v>
      </c>
      <c r="H17" s="293"/>
      <c r="I17" s="293"/>
      <c r="J17" s="293"/>
      <c r="K17" s="293"/>
    </row>
    <row r="18" spans="1:11" ht="26.25" customHeight="1">
      <c r="A18" s="422">
        <v>4</v>
      </c>
      <c r="B18" s="302" t="s">
        <v>693</v>
      </c>
      <c r="C18" s="455" t="s">
        <v>422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453">
        <v>0</v>
      </c>
    </row>
    <row r="19" spans="1:11" ht="13.5" customHeight="1">
      <c r="A19" s="422"/>
      <c r="B19" s="264" t="s">
        <v>692</v>
      </c>
      <c r="C19" s="455"/>
      <c r="D19" s="453"/>
      <c r="E19" s="453"/>
      <c r="F19" s="453"/>
      <c r="G19" s="453"/>
      <c r="H19" s="453"/>
      <c r="I19" s="453"/>
      <c r="J19" s="453"/>
      <c r="K19" s="453"/>
    </row>
    <row r="20" spans="1:11" ht="26.25" customHeight="1">
      <c r="A20" s="280" t="s">
        <v>680</v>
      </c>
      <c r="B20" s="277" t="s">
        <v>694</v>
      </c>
      <c r="C20" s="264" t="s">
        <v>422</v>
      </c>
      <c r="D20" s="293" t="s">
        <v>408</v>
      </c>
      <c r="E20" s="293" t="s">
        <v>408</v>
      </c>
      <c r="F20" s="293" t="s">
        <v>408</v>
      </c>
      <c r="G20" s="293" t="s">
        <v>408</v>
      </c>
      <c r="H20" s="293" t="s">
        <v>408</v>
      </c>
      <c r="I20" s="293" t="s">
        <v>408</v>
      </c>
      <c r="J20" s="293" t="s">
        <v>408</v>
      </c>
      <c r="K20" s="293" t="s">
        <v>408</v>
      </c>
    </row>
    <row r="21" spans="1:11" ht="29.25" customHeight="1">
      <c r="A21" s="422" t="s">
        <v>695</v>
      </c>
      <c r="B21" s="302" t="s">
        <v>696</v>
      </c>
      <c r="C21" s="454" t="s">
        <v>422</v>
      </c>
      <c r="D21" s="453">
        <f>SUM(E21:K22)</f>
        <v>8</v>
      </c>
      <c r="E21" s="453">
        <f>E23</f>
        <v>1</v>
      </c>
      <c r="F21" s="453">
        <f aca="true" t="shared" si="2" ref="F21:K21">F23</f>
        <v>1</v>
      </c>
      <c r="G21" s="453">
        <v>0</v>
      </c>
      <c r="H21" s="453">
        <f t="shared" si="2"/>
        <v>1</v>
      </c>
      <c r="I21" s="453">
        <f t="shared" si="2"/>
        <v>2</v>
      </c>
      <c r="J21" s="453">
        <f t="shared" si="2"/>
        <v>2</v>
      </c>
      <c r="K21" s="453">
        <f t="shared" si="2"/>
        <v>1</v>
      </c>
    </row>
    <row r="22" spans="1:11" ht="12.75" customHeight="1">
      <c r="A22" s="422"/>
      <c r="B22" s="264" t="s">
        <v>692</v>
      </c>
      <c r="C22" s="454"/>
      <c r="D22" s="453"/>
      <c r="E22" s="453"/>
      <c r="F22" s="453"/>
      <c r="G22" s="453"/>
      <c r="H22" s="453"/>
      <c r="I22" s="453"/>
      <c r="J22" s="453"/>
      <c r="K22" s="453"/>
    </row>
    <row r="23" spans="1:11" ht="15.75" customHeight="1">
      <c r="A23" s="280" t="s">
        <v>682</v>
      </c>
      <c r="B23" s="277" t="s">
        <v>697</v>
      </c>
      <c r="C23" s="259" t="s">
        <v>422</v>
      </c>
      <c r="D23" s="293">
        <f>SUM(E23:K23)</f>
        <v>8</v>
      </c>
      <c r="E23" s="293">
        <v>1</v>
      </c>
      <c r="F23" s="293">
        <v>1</v>
      </c>
      <c r="G23" s="293" t="s">
        <v>408</v>
      </c>
      <c r="H23" s="293">
        <v>1</v>
      </c>
      <c r="I23" s="293">
        <v>2</v>
      </c>
      <c r="J23" s="293">
        <v>2</v>
      </c>
      <c r="K23" s="293">
        <v>1</v>
      </c>
    </row>
    <row r="24" spans="1:11" ht="12.75">
      <c r="A24" s="258"/>
      <c r="B24" s="259" t="s">
        <v>108</v>
      </c>
      <c r="C24" s="259"/>
      <c r="D24" s="294">
        <f aca="true" t="shared" si="3" ref="D24:K24">D7+D12+D15+D18+D21</f>
        <v>37</v>
      </c>
      <c r="E24" s="294">
        <f t="shared" si="3"/>
        <v>7</v>
      </c>
      <c r="F24" s="294">
        <f t="shared" si="3"/>
        <v>4</v>
      </c>
      <c r="G24" s="294">
        <f t="shared" si="3"/>
        <v>4</v>
      </c>
      <c r="H24" s="294">
        <f t="shared" si="3"/>
        <v>5</v>
      </c>
      <c r="I24" s="294">
        <f t="shared" si="3"/>
        <v>6</v>
      </c>
      <c r="J24" s="294">
        <f t="shared" si="3"/>
        <v>6</v>
      </c>
      <c r="K24" s="294">
        <f t="shared" si="3"/>
        <v>5</v>
      </c>
    </row>
  </sheetData>
  <sheetProtection/>
  <mergeCells count="57">
    <mergeCell ref="J1:K1"/>
    <mergeCell ref="B4:B5"/>
    <mergeCell ref="D4:D5"/>
    <mergeCell ref="E4:K4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18:A19"/>
    <mergeCell ref="C18:C19"/>
    <mergeCell ref="D18:D19"/>
    <mergeCell ref="E18:E19"/>
    <mergeCell ref="F18:F19"/>
    <mergeCell ref="G18:G19"/>
    <mergeCell ref="H18:H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4:A5"/>
    <mergeCell ref="C4:C5"/>
    <mergeCell ref="A2:K2"/>
    <mergeCell ref="I18:I19"/>
    <mergeCell ref="J18:J19"/>
    <mergeCell ref="K18:K19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"/>
    </sheetView>
  </sheetViews>
  <sheetFormatPr defaultColWidth="9.00390625" defaultRowHeight="12.75"/>
  <cols>
    <col min="1" max="1" width="5.75390625" style="0" customWidth="1"/>
    <col min="2" max="2" width="43.875" style="0" customWidth="1"/>
  </cols>
  <sheetData>
    <row r="1" ht="15">
      <c r="J1" s="328" t="s">
        <v>707</v>
      </c>
    </row>
    <row r="2" spans="1:11" s="285" customFormat="1" ht="32.25" customHeight="1">
      <c r="A2" s="438" t="s">
        <v>706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8.75" customHeight="1">
      <c r="A4" s="429" t="s">
        <v>107</v>
      </c>
      <c r="B4" s="422" t="s">
        <v>402</v>
      </c>
      <c r="C4" s="429" t="s">
        <v>578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430"/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27.75" customHeight="1">
      <c r="A7" s="455">
        <v>1</v>
      </c>
      <c r="B7" s="264" t="s">
        <v>701</v>
      </c>
      <c r="C7" s="258" t="s">
        <v>703</v>
      </c>
      <c r="D7" s="294">
        <f>SUM(E7:K7)</f>
        <v>44</v>
      </c>
      <c r="E7" s="294">
        <f>E10+E12+E14+E16+E18+E20+E22+E24+E26+E28+E30+E32</f>
        <v>4</v>
      </c>
      <c r="F7" s="294">
        <f aca="true" t="shared" si="0" ref="F7:K8">F10+F12+F14+F16+F18+F20+F22+F24+F26+F28+F30+F32</f>
        <v>5</v>
      </c>
      <c r="G7" s="294">
        <f t="shared" si="0"/>
        <v>6</v>
      </c>
      <c r="H7" s="294">
        <f t="shared" si="0"/>
        <v>6</v>
      </c>
      <c r="I7" s="294">
        <f t="shared" si="0"/>
        <v>7</v>
      </c>
      <c r="J7" s="294">
        <f t="shared" si="0"/>
        <v>7</v>
      </c>
      <c r="K7" s="294">
        <f t="shared" si="0"/>
        <v>9</v>
      </c>
    </row>
    <row r="8" spans="1:11" ht="14.25" customHeight="1">
      <c r="A8" s="455"/>
      <c r="B8" s="458" t="s">
        <v>702</v>
      </c>
      <c r="C8" s="258" t="s">
        <v>617</v>
      </c>
      <c r="D8" s="294">
        <f>SUM(E8:K8)</f>
        <v>2550</v>
      </c>
      <c r="E8" s="294">
        <f>E11+E13+E15+E17+E19+E21+E23+E25+E27+E29+E31+E33</f>
        <v>228</v>
      </c>
      <c r="F8" s="294">
        <f t="shared" si="0"/>
        <v>306</v>
      </c>
      <c r="G8" s="294">
        <f t="shared" si="0"/>
        <v>324</v>
      </c>
      <c r="H8" s="294">
        <f t="shared" si="0"/>
        <v>450</v>
      </c>
      <c r="I8" s="294">
        <f t="shared" si="0"/>
        <v>378</v>
      </c>
      <c r="J8" s="294">
        <f t="shared" si="0"/>
        <v>378</v>
      </c>
      <c r="K8" s="294">
        <f t="shared" si="0"/>
        <v>486</v>
      </c>
    </row>
    <row r="9" spans="1:11" ht="12.75">
      <c r="A9" s="455"/>
      <c r="B9" s="459"/>
      <c r="C9" s="258" t="s">
        <v>704</v>
      </c>
      <c r="D9" s="294">
        <f>SUM(E9:K9)</f>
        <v>43.032000000000004</v>
      </c>
      <c r="E9" s="334">
        <v>4.332</v>
      </c>
      <c r="F9" s="294">
        <v>6.45</v>
      </c>
      <c r="G9" s="294">
        <v>6.45</v>
      </c>
      <c r="H9" s="294">
        <v>6.45</v>
      </c>
      <c r="I9" s="294">
        <v>6.45</v>
      </c>
      <c r="J9" s="294">
        <v>6.45</v>
      </c>
      <c r="K9" s="294">
        <v>6.45</v>
      </c>
    </row>
    <row r="10" spans="1:11" ht="12.75">
      <c r="A10" s="456" t="s">
        <v>429</v>
      </c>
      <c r="B10" s="457" t="s">
        <v>456</v>
      </c>
      <c r="C10" s="273" t="s">
        <v>703</v>
      </c>
      <c r="D10" s="293">
        <f aca="true" t="shared" si="1" ref="D10:D52">SUM(E10:K10)</f>
        <v>2</v>
      </c>
      <c r="E10" s="293"/>
      <c r="F10" s="293"/>
      <c r="G10" s="293"/>
      <c r="H10" s="293">
        <v>2</v>
      </c>
      <c r="I10" s="293"/>
      <c r="J10" s="293"/>
      <c r="K10" s="293"/>
    </row>
    <row r="11" spans="1:11" ht="12.75">
      <c r="A11" s="456"/>
      <c r="B11" s="457"/>
      <c r="C11" s="273" t="s">
        <v>617</v>
      </c>
      <c r="D11" s="293">
        <f t="shared" si="1"/>
        <v>144</v>
      </c>
      <c r="E11" s="293"/>
      <c r="F11" s="293"/>
      <c r="G11" s="293"/>
      <c r="H11" s="293">
        <v>144</v>
      </c>
      <c r="I11" s="293"/>
      <c r="J11" s="293"/>
      <c r="K11" s="293"/>
    </row>
    <row r="12" spans="1:11" ht="12.75">
      <c r="A12" s="456" t="s">
        <v>430</v>
      </c>
      <c r="B12" s="457" t="s">
        <v>457</v>
      </c>
      <c r="C12" s="273" t="s">
        <v>703</v>
      </c>
      <c r="D12" s="293">
        <f t="shared" si="1"/>
        <v>2</v>
      </c>
      <c r="E12" s="293"/>
      <c r="F12" s="293"/>
      <c r="G12" s="293"/>
      <c r="H12" s="293"/>
      <c r="I12" s="293">
        <v>2</v>
      </c>
      <c r="J12" s="293"/>
      <c r="K12" s="293"/>
    </row>
    <row r="13" spans="1:11" ht="12.75">
      <c r="A13" s="456"/>
      <c r="B13" s="457"/>
      <c r="C13" s="273" t="s">
        <v>617</v>
      </c>
      <c r="D13" s="293">
        <f t="shared" si="1"/>
        <v>108</v>
      </c>
      <c r="E13" s="293"/>
      <c r="F13" s="293"/>
      <c r="G13" s="293"/>
      <c r="H13" s="293"/>
      <c r="I13" s="293">
        <v>108</v>
      </c>
      <c r="J13" s="293"/>
      <c r="K13" s="293"/>
    </row>
    <row r="14" spans="1:11" ht="12.75">
      <c r="A14" s="456" t="s">
        <v>431</v>
      </c>
      <c r="B14" s="457" t="s">
        <v>458</v>
      </c>
      <c r="C14" s="273" t="s">
        <v>703</v>
      </c>
      <c r="D14" s="293">
        <f t="shared" si="1"/>
        <v>3</v>
      </c>
      <c r="E14" s="293"/>
      <c r="F14" s="293">
        <v>1</v>
      </c>
      <c r="G14" s="293"/>
      <c r="H14" s="293"/>
      <c r="I14" s="293"/>
      <c r="J14" s="293"/>
      <c r="K14" s="293">
        <v>2</v>
      </c>
    </row>
    <row r="15" spans="1:11" ht="12.75">
      <c r="A15" s="456"/>
      <c r="B15" s="457"/>
      <c r="C15" s="273" t="s">
        <v>617</v>
      </c>
      <c r="D15" s="293">
        <f t="shared" si="1"/>
        <v>180</v>
      </c>
      <c r="E15" s="293"/>
      <c r="F15" s="293">
        <v>72</v>
      </c>
      <c r="G15" s="293"/>
      <c r="H15" s="293"/>
      <c r="I15" s="293"/>
      <c r="J15" s="293"/>
      <c r="K15" s="293">
        <v>108</v>
      </c>
    </row>
    <row r="16" spans="1:11" ht="12.75">
      <c r="A16" s="456" t="s">
        <v>432</v>
      </c>
      <c r="B16" s="457" t="s">
        <v>459</v>
      </c>
      <c r="C16" s="273" t="s">
        <v>703</v>
      </c>
      <c r="D16" s="293">
        <f t="shared" si="1"/>
        <v>4</v>
      </c>
      <c r="E16" s="293"/>
      <c r="F16" s="293"/>
      <c r="G16" s="293"/>
      <c r="H16" s="293">
        <v>2</v>
      </c>
      <c r="I16" s="293"/>
      <c r="J16" s="293"/>
      <c r="K16" s="293">
        <v>2</v>
      </c>
    </row>
    <row r="17" spans="1:11" ht="12.75">
      <c r="A17" s="456"/>
      <c r="B17" s="457"/>
      <c r="C17" s="273" t="s">
        <v>617</v>
      </c>
      <c r="D17" s="293">
        <f t="shared" si="1"/>
        <v>252</v>
      </c>
      <c r="E17" s="293"/>
      <c r="F17" s="293"/>
      <c r="G17" s="293"/>
      <c r="H17" s="293">
        <v>144</v>
      </c>
      <c r="I17" s="293"/>
      <c r="J17" s="293"/>
      <c r="K17" s="293">
        <v>108</v>
      </c>
    </row>
    <row r="18" spans="1:11" ht="12.75">
      <c r="A18" s="456" t="s">
        <v>433</v>
      </c>
      <c r="B18" s="457" t="s">
        <v>460</v>
      </c>
      <c r="C18" s="273" t="s">
        <v>703</v>
      </c>
      <c r="D18" s="293">
        <f t="shared" si="1"/>
        <v>2</v>
      </c>
      <c r="E18" s="293"/>
      <c r="F18" s="293"/>
      <c r="G18" s="293"/>
      <c r="H18" s="293"/>
      <c r="I18" s="293"/>
      <c r="J18" s="293">
        <v>2</v>
      </c>
      <c r="K18" s="293"/>
    </row>
    <row r="19" spans="1:11" ht="12.75">
      <c r="A19" s="456"/>
      <c r="B19" s="457"/>
      <c r="C19" s="273" t="s">
        <v>617</v>
      </c>
      <c r="D19" s="293">
        <f t="shared" si="1"/>
        <v>108</v>
      </c>
      <c r="E19" s="293"/>
      <c r="F19" s="293"/>
      <c r="G19" s="293"/>
      <c r="H19" s="293"/>
      <c r="I19" s="293"/>
      <c r="J19" s="293">
        <v>108</v>
      </c>
      <c r="K19" s="293"/>
    </row>
    <row r="20" spans="1:11" ht="12.75">
      <c r="A20" s="456" t="s">
        <v>708</v>
      </c>
      <c r="B20" s="457" t="s">
        <v>461</v>
      </c>
      <c r="C20" s="273" t="s">
        <v>703</v>
      </c>
      <c r="D20" s="293">
        <f t="shared" si="1"/>
        <v>8</v>
      </c>
      <c r="E20" s="293">
        <v>2</v>
      </c>
      <c r="F20" s="293"/>
      <c r="G20" s="293">
        <v>2</v>
      </c>
      <c r="H20" s="293"/>
      <c r="I20" s="293">
        <v>2</v>
      </c>
      <c r="J20" s="293"/>
      <c r="K20" s="293">
        <v>2</v>
      </c>
    </row>
    <row r="21" spans="1:11" ht="12.75">
      <c r="A21" s="456"/>
      <c r="B21" s="457"/>
      <c r="C21" s="273" t="s">
        <v>617</v>
      </c>
      <c r="D21" s="293">
        <f t="shared" si="1"/>
        <v>408</v>
      </c>
      <c r="E21" s="293">
        <v>84</v>
      </c>
      <c r="F21" s="293"/>
      <c r="G21" s="293">
        <v>108</v>
      </c>
      <c r="H21" s="293"/>
      <c r="I21" s="293">
        <v>108</v>
      </c>
      <c r="J21" s="293"/>
      <c r="K21" s="293">
        <v>108</v>
      </c>
    </row>
    <row r="22" spans="1:11" ht="12.75">
      <c r="A22" s="456" t="s">
        <v>709</v>
      </c>
      <c r="B22" s="457" t="s">
        <v>462</v>
      </c>
      <c r="C22" s="273" t="s">
        <v>703</v>
      </c>
      <c r="D22" s="293">
        <f t="shared" si="1"/>
        <v>7</v>
      </c>
      <c r="E22" s="293"/>
      <c r="F22" s="293">
        <f>2</f>
        <v>2</v>
      </c>
      <c r="G22" s="293">
        <v>2</v>
      </c>
      <c r="H22" s="293"/>
      <c r="I22" s="293"/>
      <c r="J22" s="293">
        <v>3</v>
      </c>
      <c r="K22" s="293"/>
    </row>
    <row r="23" spans="1:11" ht="12.75">
      <c r="A23" s="456"/>
      <c r="B23" s="457"/>
      <c r="C23" s="273" t="s">
        <v>617</v>
      </c>
      <c r="D23" s="293">
        <f t="shared" si="1"/>
        <v>378</v>
      </c>
      <c r="E23" s="293"/>
      <c r="F23" s="293">
        <f>108</f>
        <v>108</v>
      </c>
      <c r="G23" s="293">
        <v>108</v>
      </c>
      <c r="H23" s="293"/>
      <c r="I23" s="293"/>
      <c r="J23" s="293">
        <v>162</v>
      </c>
      <c r="K23" s="293"/>
    </row>
    <row r="24" spans="1:11" ht="12.75">
      <c r="A24" s="456" t="s">
        <v>710</v>
      </c>
      <c r="B24" s="457" t="s">
        <v>463</v>
      </c>
      <c r="C24" s="273" t="s">
        <v>703</v>
      </c>
      <c r="D24" s="293">
        <f t="shared" si="1"/>
        <v>1</v>
      </c>
      <c r="E24" s="293"/>
      <c r="F24" s="293"/>
      <c r="G24" s="293">
        <v>1</v>
      </c>
      <c r="H24" s="293"/>
      <c r="I24" s="293"/>
      <c r="J24" s="293"/>
      <c r="K24" s="293"/>
    </row>
    <row r="25" spans="1:11" ht="12.75">
      <c r="A25" s="456"/>
      <c r="B25" s="457"/>
      <c r="C25" s="273" t="s">
        <v>617</v>
      </c>
      <c r="D25" s="293">
        <f t="shared" si="1"/>
        <v>54</v>
      </c>
      <c r="E25" s="293"/>
      <c r="F25" s="293"/>
      <c r="G25" s="293">
        <v>54</v>
      </c>
      <c r="H25" s="293"/>
      <c r="I25" s="293"/>
      <c r="J25" s="293"/>
      <c r="K25" s="293"/>
    </row>
    <row r="26" spans="1:11" ht="12.75">
      <c r="A26" s="456" t="s">
        <v>711</v>
      </c>
      <c r="B26" s="457" t="s">
        <v>464</v>
      </c>
      <c r="C26" s="273" t="s">
        <v>703</v>
      </c>
      <c r="D26" s="293">
        <f t="shared" si="1"/>
        <v>2</v>
      </c>
      <c r="E26" s="293"/>
      <c r="F26" s="293"/>
      <c r="G26" s="293"/>
      <c r="H26" s="293">
        <v>2</v>
      </c>
      <c r="I26" s="293"/>
      <c r="J26" s="293"/>
      <c r="K26" s="293"/>
    </row>
    <row r="27" spans="1:11" ht="12.75">
      <c r="A27" s="456"/>
      <c r="B27" s="457"/>
      <c r="C27" s="273" t="s">
        <v>617</v>
      </c>
      <c r="D27" s="293">
        <f t="shared" si="1"/>
        <v>162</v>
      </c>
      <c r="E27" s="293"/>
      <c r="F27" s="293"/>
      <c r="G27" s="293"/>
      <c r="H27" s="293">
        <v>162</v>
      </c>
      <c r="I27" s="293"/>
      <c r="J27" s="293"/>
      <c r="K27" s="293"/>
    </row>
    <row r="28" spans="1:11" ht="12.75">
      <c r="A28" s="456" t="s">
        <v>712</v>
      </c>
      <c r="B28" s="457" t="s">
        <v>465</v>
      </c>
      <c r="C28" s="273" t="s">
        <v>703</v>
      </c>
      <c r="D28" s="293">
        <f t="shared" si="1"/>
        <v>3</v>
      </c>
      <c r="E28" s="293">
        <v>1</v>
      </c>
      <c r="F28" s="293">
        <v>1</v>
      </c>
      <c r="G28" s="293"/>
      <c r="H28" s="293"/>
      <c r="I28" s="293">
        <v>1</v>
      </c>
      <c r="J28" s="293"/>
      <c r="K28" s="293"/>
    </row>
    <row r="29" spans="1:11" ht="12.75">
      <c r="A29" s="456"/>
      <c r="B29" s="457"/>
      <c r="C29" s="273" t="s">
        <v>617</v>
      </c>
      <c r="D29" s="293">
        <f t="shared" si="1"/>
        <v>198</v>
      </c>
      <c r="E29" s="293">
        <v>90</v>
      </c>
      <c r="F29" s="293">
        <v>54</v>
      </c>
      <c r="G29" s="293"/>
      <c r="H29" s="293"/>
      <c r="I29" s="293">
        <v>54</v>
      </c>
      <c r="J29" s="293"/>
      <c r="K29" s="293"/>
    </row>
    <row r="30" spans="1:11" ht="12.75">
      <c r="A30" s="456" t="s">
        <v>713</v>
      </c>
      <c r="B30" s="457" t="s">
        <v>466</v>
      </c>
      <c r="C30" s="273" t="s">
        <v>703</v>
      </c>
      <c r="D30" s="293">
        <f t="shared" si="1"/>
        <v>6</v>
      </c>
      <c r="E30" s="293"/>
      <c r="F30" s="293"/>
      <c r="G30" s="293">
        <v>1</v>
      </c>
      <c r="H30" s="293"/>
      <c r="I30" s="293">
        <v>2</v>
      </c>
      <c r="J30" s="293"/>
      <c r="K30" s="293">
        <v>3</v>
      </c>
    </row>
    <row r="31" spans="1:11" ht="12.75">
      <c r="A31" s="456"/>
      <c r="B31" s="457"/>
      <c r="C31" s="273" t="s">
        <v>617</v>
      </c>
      <c r="D31" s="293">
        <f t="shared" si="1"/>
        <v>324</v>
      </c>
      <c r="E31" s="293"/>
      <c r="F31" s="293"/>
      <c r="G31" s="293">
        <v>54</v>
      </c>
      <c r="H31" s="293"/>
      <c r="I31" s="293">
        <v>108</v>
      </c>
      <c r="J31" s="293"/>
      <c r="K31" s="293">
        <v>162</v>
      </c>
    </row>
    <row r="32" spans="1:11" ht="12.75">
      <c r="A32" s="456" t="s">
        <v>714</v>
      </c>
      <c r="B32" s="457" t="s">
        <v>467</v>
      </c>
      <c r="C32" s="273" t="s">
        <v>703</v>
      </c>
      <c r="D32" s="293">
        <f t="shared" si="1"/>
        <v>4</v>
      </c>
      <c r="E32" s="293">
        <v>1</v>
      </c>
      <c r="F32" s="293">
        <v>1</v>
      </c>
      <c r="G32" s="293"/>
      <c r="H32" s="293"/>
      <c r="I32" s="293"/>
      <c r="J32" s="293">
        <v>2</v>
      </c>
      <c r="K32" s="293"/>
    </row>
    <row r="33" spans="1:11" ht="12.75">
      <c r="A33" s="456"/>
      <c r="B33" s="457"/>
      <c r="C33" s="273" t="s">
        <v>617</v>
      </c>
      <c r="D33" s="293">
        <f t="shared" si="1"/>
        <v>234</v>
      </c>
      <c r="E33" s="293">
        <v>54</v>
      </c>
      <c r="F33" s="293">
        <v>72</v>
      </c>
      <c r="G33" s="293"/>
      <c r="H33" s="293"/>
      <c r="I33" s="293"/>
      <c r="J33" s="293">
        <v>108</v>
      </c>
      <c r="K33" s="293"/>
    </row>
    <row r="34" spans="1:11" ht="51" customHeight="1">
      <c r="A34" s="460" t="s">
        <v>60</v>
      </c>
      <c r="B34" s="264" t="s">
        <v>705</v>
      </c>
      <c r="C34" s="258" t="s">
        <v>703</v>
      </c>
      <c r="D34" s="294">
        <f t="shared" si="1"/>
        <v>24</v>
      </c>
      <c r="E34" s="294">
        <f>E37+E39+E41+E43+E45+E47+E49+E51+E53</f>
        <v>2</v>
      </c>
      <c r="F34" s="294">
        <f aca="true" t="shared" si="2" ref="F34:K34">F37+F39+F41+F43+F45+F47+F49+F51+F53</f>
        <v>3</v>
      </c>
      <c r="G34" s="294">
        <f t="shared" si="2"/>
        <v>3</v>
      </c>
      <c r="H34" s="294">
        <f t="shared" si="2"/>
        <v>4</v>
      </c>
      <c r="I34" s="294">
        <f t="shared" si="2"/>
        <v>3</v>
      </c>
      <c r="J34" s="294">
        <f t="shared" si="2"/>
        <v>3</v>
      </c>
      <c r="K34" s="294">
        <f t="shared" si="2"/>
        <v>6</v>
      </c>
    </row>
    <row r="35" spans="1:11" ht="14.25" customHeight="1">
      <c r="A35" s="460"/>
      <c r="B35" s="458" t="s">
        <v>702</v>
      </c>
      <c r="C35" s="258" t="s">
        <v>617</v>
      </c>
      <c r="D35" s="294">
        <f t="shared" si="1"/>
        <v>1356</v>
      </c>
      <c r="E35" s="294">
        <f>E38+E40+E42+E44+E46+E48+E50+E52+E54</f>
        <v>96</v>
      </c>
      <c r="F35" s="294">
        <f aca="true" t="shared" si="3" ref="F35:K35">F38+F40+F42+F44+F46+F48+F50+F52+F54</f>
        <v>162</v>
      </c>
      <c r="G35" s="294">
        <f t="shared" si="3"/>
        <v>162</v>
      </c>
      <c r="H35" s="294">
        <f t="shared" si="3"/>
        <v>288</v>
      </c>
      <c r="I35" s="294">
        <f t="shared" si="3"/>
        <v>162</v>
      </c>
      <c r="J35" s="294">
        <f t="shared" si="3"/>
        <v>162</v>
      </c>
      <c r="K35" s="294">
        <f t="shared" si="3"/>
        <v>324</v>
      </c>
    </row>
    <row r="36" spans="1:11" ht="12.75">
      <c r="A36" s="460"/>
      <c r="B36" s="459"/>
      <c r="C36" s="258" t="s">
        <v>704</v>
      </c>
      <c r="D36" s="294">
        <f>SUM(E36:K36)</f>
        <v>21.174000000000003</v>
      </c>
      <c r="E36" s="294">
        <v>1.824</v>
      </c>
      <c r="F36" s="294">
        <v>3.225</v>
      </c>
      <c r="G36" s="294">
        <v>3.225</v>
      </c>
      <c r="H36" s="294">
        <v>3.225</v>
      </c>
      <c r="I36" s="294">
        <v>3.225</v>
      </c>
      <c r="J36" s="294">
        <v>3.225</v>
      </c>
      <c r="K36" s="294">
        <v>3.225</v>
      </c>
    </row>
    <row r="37" spans="1:11" ht="12.75">
      <c r="A37" s="456" t="s">
        <v>645</v>
      </c>
      <c r="B37" s="457" t="s">
        <v>456</v>
      </c>
      <c r="C37" s="273" t="s">
        <v>703</v>
      </c>
      <c r="D37" s="293">
        <f t="shared" si="1"/>
        <v>2</v>
      </c>
      <c r="E37" s="293"/>
      <c r="F37" s="293"/>
      <c r="G37" s="293"/>
      <c r="H37" s="293">
        <v>2</v>
      </c>
      <c r="I37" s="293"/>
      <c r="J37" s="293"/>
      <c r="K37" s="293"/>
    </row>
    <row r="38" spans="1:11" ht="12.75">
      <c r="A38" s="456"/>
      <c r="B38" s="457"/>
      <c r="C38" s="273" t="s">
        <v>617</v>
      </c>
      <c r="D38" s="293">
        <f t="shared" si="1"/>
        <v>144</v>
      </c>
      <c r="E38" s="293"/>
      <c r="F38" s="293"/>
      <c r="G38" s="293"/>
      <c r="H38" s="293">
        <v>144</v>
      </c>
      <c r="I38" s="293"/>
      <c r="J38" s="293"/>
      <c r="K38" s="293"/>
    </row>
    <row r="39" spans="1:11" ht="12.75">
      <c r="A39" s="456" t="s">
        <v>651</v>
      </c>
      <c r="B39" s="457" t="s">
        <v>457</v>
      </c>
      <c r="C39" s="273" t="s">
        <v>703</v>
      </c>
      <c r="D39" s="293">
        <f t="shared" si="1"/>
        <v>1</v>
      </c>
      <c r="E39" s="293"/>
      <c r="F39" s="293"/>
      <c r="G39" s="293"/>
      <c r="H39" s="293"/>
      <c r="I39" s="293">
        <v>1</v>
      </c>
      <c r="J39" s="293"/>
      <c r="K39" s="293"/>
    </row>
    <row r="40" spans="1:11" ht="12.75">
      <c r="A40" s="456"/>
      <c r="B40" s="457"/>
      <c r="C40" s="273" t="s">
        <v>617</v>
      </c>
      <c r="D40" s="293">
        <f t="shared" si="1"/>
        <v>54</v>
      </c>
      <c r="E40" s="293"/>
      <c r="F40" s="293"/>
      <c r="G40" s="293"/>
      <c r="H40" s="293"/>
      <c r="I40" s="293">
        <v>54</v>
      </c>
      <c r="J40" s="293"/>
      <c r="K40" s="293"/>
    </row>
    <row r="41" spans="1:11" ht="12.75">
      <c r="A41" s="456" t="s">
        <v>655</v>
      </c>
      <c r="B41" s="457" t="s">
        <v>459</v>
      </c>
      <c r="C41" s="273" t="s">
        <v>703</v>
      </c>
      <c r="D41" s="293">
        <f t="shared" si="1"/>
        <v>4</v>
      </c>
      <c r="E41" s="293"/>
      <c r="F41" s="293"/>
      <c r="G41" s="293"/>
      <c r="H41" s="293">
        <v>2</v>
      </c>
      <c r="I41" s="293"/>
      <c r="J41" s="293"/>
      <c r="K41" s="293">
        <v>2</v>
      </c>
    </row>
    <row r="42" spans="1:11" ht="12.75">
      <c r="A42" s="456"/>
      <c r="B42" s="457"/>
      <c r="C42" s="273" t="s">
        <v>617</v>
      </c>
      <c r="D42" s="293">
        <f t="shared" si="1"/>
        <v>252</v>
      </c>
      <c r="E42" s="293"/>
      <c r="F42" s="293"/>
      <c r="G42" s="293"/>
      <c r="H42" s="293">
        <v>144</v>
      </c>
      <c r="I42" s="293"/>
      <c r="J42" s="293"/>
      <c r="K42" s="293">
        <v>108</v>
      </c>
    </row>
    <row r="43" spans="1:11" ht="12.75">
      <c r="A43" s="456" t="s">
        <v>662</v>
      </c>
      <c r="B43" s="457" t="s">
        <v>461</v>
      </c>
      <c r="C43" s="273" t="s">
        <v>703</v>
      </c>
      <c r="D43" s="293">
        <f t="shared" si="1"/>
        <v>6</v>
      </c>
      <c r="E43" s="293">
        <v>1</v>
      </c>
      <c r="F43" s="293"/>
      <c r="G43" s="293">
        <v>2</v>
      </c>
      <c r="H43" s="293"/>
      <c r="I43" s="293">
        <v>1</v>
      </c>
      <c r="J43" s="293"/>
      <c r="K43" s="293">
        <v>2</v>
      </c>
    </row>
    <row r="44" spans="1:11" ht="12.75">
      <c r="A44" s="456"/>
      <c r="B44" s="457"/>
      <c r="C44" s="273" t="s">
        <v>617</v>
      </c>
      <c r="D44" s="293">
        <f t="shared" si="1"/>
        <v>312</v>
      </c>
      <c r="E44" s="293">
        <v>42</v>
      </c>
      <c r="F44" s="293"/>
      <c r="G44" s="293">
        <v>108</v>
      </c>
      <c r="H44" s="293"/>
      <c r="I44" s="293">
        <v>54</v>
      </c>
      <c r="J44" s="293"/>
      <c r="K44" s="293">
        <v>108</v>
      </c>
    </row>
    <row r="45" spans="1:11" ht="12.75">
      <c r="A45" s="456" t="s">
        <v>666</v>
      </c>
      <c r="B45" s="457" t="s">
        <v>462</v>
      </c>
      <c r="C45" s="273" t="s">
        <v>703</v>
      </c>
      <c r="D45" s="293">
        <f t="shared" si="1"/>
        <v>5</v>
      </c>
      <c r="E45" s="293"/>
      <c r="F45" s="293">
        <f>2</f>
        <v>2</v>
      </c>
      <c r="G45" s="293"/>
      <c r="H45" s="293"/>
      <c r="I45" s="293"/>
      <c r="J45" s="293">
        <v>3</v>
      </c>
      <c r="K45" s="293"/>
    </row>
    <row r="46" spans="1:11" ht="12.75">
      <c r="A46" s="456"/>
      <c r="B46" s="457"/>
      <c r="C46" s="273" t="s">
        <v>617</v>
      </c>
      <c r="D46" s="293">
        <f t="shared" si="1"/>
        <v>270</v>
      </c>
      <c r="E46" s="293"/>
      <c r="F46" s="293">
        <f>108</f>
        <v>108</v>
      </c>
      <c r="G46" s="293"/>
      <c r="H46" s="293"/>
      <c r="I46" s="293"/>
      <c r="J46" s="293">
        <v>162</v>
      </c>
      <c r="K46" s="293"/>
    </row>
    <row r="47" spans="1:11" ht="12.75">
      <c r="A47" s="456" t="s">
        <v>670</v>
      </c>
      <c r="B47" s="457" t="s">
        <v>463</v>
      </c>
      <c r="C47" s="273" t="s">
        <v>703</v>
      </c>
      <c r="D47" s="293">
        <f t="shared" si="1"/>
        <v>1</v>
      </c>
      <c r="E47" s="293"/>
      <c r="F47" s="293"/>
      <c r="G47" s="293">
        <v>1</v>
      </c>
      <c r="H47" s="293"/>
      <c r="I47" s="293"/>
      <c r="J47" s="293"/>
      <c r="K47" s="293"/>
    </row>
    <row r="48" spans="1:11" ht="12.75">
      <c r="A48" s="456"/>
      <c r="B48" s="457"/>
      <c r="C48" s="273" t="s">
        <v>617</v>
      </c>
      <c r="D48" s="293">
        <f t="shared" si="1"/>
        <v>54</v>
      </c>
      <c r="E48" s="293"/>
      <c r="F48" s="293"/>
      <c r="G48" s="293">
        <v>54</v>
      </c>
      <c r="H48" s="293"/>
      <c r="I48" s="293"/>
      <c r="J48" s="293"/>
      <c r="K48" s="293"/>
    </row>
    <row r="49" spans="1:11" ht="12.75">
      <c r="A49" s="456" t="s">
        <v>674</v>
      </c>
      <c r="B49" s="457" t="s">
        <v>465</v>
      </c>
      <c r="C49" s="273" t="s">
        <v>703</v>
      </c>
      <c r="D49" s="293">
        <f t="shared" si="1"/>
        <v>1</v>
      </c>
      <c r="E49" s="293"/>
      <c r="F49" s="293">
        <v>1</v>
      </c>
      <c r="G49" s="293"/>
      <c r="H49" s="293"/>
      <c r="I49" s="293"/>
      <c r="J49" s="293"/>
      <c r="K49" s="293"/>
    </row>
    <row r="50" spans="1:11" ht="12.75">
      <c r="A50" s="456"/>
      <c r="B50" s="457"/>
      <c r="C50" s="273" t="s">
        <v>617</v>
      </c>
      <c r="D50" s="293">
        <f t="shared" si="1"/>
        <v>54</v>
      </c>
      <c r="E50" s="293"/>
      <c r="F50" s="293">
        <v>54</v>
      </c>
      <c r="G50" s="293"/>
      <c r="H50" s="293"/>
      <c r="I50" s="293"/>
      <c r="J50" s="293"/>
      <c r="K50" s="293"/>
    </row>
    <row r="51" spans="1:11" ht="12.75">
      <c r="A51" s="456" t="s">
        <v>715</v>
      </c>
      <c r="B51" s="457" t="s">
        <v>466</v>
      </c>
      <c r="C51" s="273" t="s">
        <v>703</v>
      </c>
      <c r="D51" s="293">
        <f t="shared" si="1"/>
        <v>3</v>
      </c>
      <c r="E51" s="293"/>
      <c r="F51" s="293"/>
      <c r="G51" s="293"/>
      <c r="H51" s="293"/>
      <c r="I51" s="293">
        <v>1</v>
      </c>
      <c r="J51" s="293"/>
      <c r="K51" s="293">
        <v>2</v>
      </c>
    </row>
    <row r="52" spans="1:11" ht="12.75">
      <c r="A52" s="456"/>
      <c r="B52" s="457"/>
      <c r="C52" s="273" t="s">
        <v>617</v>
      </c>
      <c r="D52" s="293">
        <f t="shared" si="1"/>
        <v>162</v>
      </c>
      <c r="E52" s="293"/>
      <c r="F52" s="293"/>
      <c r="G52" s="293"/>
      <c r="H52" s="293"/>
      <c r="I52" s="293">
        <v>54</v>
      </c>
      <c r="J52" s="293"/>
      <c r="K52" s="293">
        <v>108</v>
      </c>
    </row>
    <row r="53" spans="1:11" ht="12.75">
      <c r="A53" s="456" t="s">
        <v>999</v>
      </c>
      <c r="B53" s="457" t="s">
        <v>467</v>
      </c>
      <c r="C53" s="273" t="s">
        <v>703</v>
      </c>
      <c r="D53" s="293">
        <f>SUM(E53:K53)</f>
        <v>1</v>
      </c>
      <c r="E53" s="293">
        <v>1</v>
      </c>
      <c r="F53" s="293"/>
      <c r="G53" s="293"/>
      <c r="H53" s="293"/>
      <c r="I53" s="293"/>
      <c r="J53" s="293"/>
      <c r="K53" s="293"/>
    </row>
    <row r="54" spans="1:11" ht="12.75">
      <c r="A54" s="456"/>
      <c r="B54" s="457"/>
      <c r="C54" s="273" t="s">
        <v>617</v>
      </c>
      <c r="D54" s="293">
        <f>SUM(E54:K54)</f>
        <v>54</v>
      </c>
      <c r="E54" s="293">
        <v>54</v>
      </c>
      <c r="F54" s="293"/>
      <c r="G54" s="293"/>
      <c r="H54" s="293"/>
      <c r="I54" s="293"/>
      <c r="J54" s="293"/>
      <c r="K54" s="293"/>
    </row>
  </sheetData>
  <sheetProtection/>
  <mergeCells count="52">
    <mergeCell ref="A53:A54"/>
    <mergeCell ref="B53:B54"/>
    <mergeCell ref="B4:B5"/>
    <mergeCell ref="D4:D5"/>
    <mergeCell ref="E4:K4"/>
    <mergeCell ref="A7:A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6"/>
    <mergeCell ref="A37:A38"/>
    <mergeCell ref="B37:B3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51:A52"/>
    <mergeCell ref="B51:B52"/>
    <mergeCell ref="A2:K2"/>
    <mergeCell ref="A4:A5"/>
    <mergeCell ref="B35:B36"/>
    <mergeCell ref="B8:B9"/>
    <mergeCell ref="C4:C5"/>
    <mergeCell ref="A45:A46"/>
    <mergeCell ref="B45:B46"/>
    <mergeCell ref="A47:A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6.00390625" style="0" customWidth="1"/>
    <col min="2" max="2" width="43.875" style="0" customWidth="1"/>
  </cols>
  <sheetData>
    <row r="1" ht="15">
      <c r="J1" s="328" t="s">
        <v>726</v>
      </c>
    </row>
    <row r="2" spans="1:11" s="289" customFormat="1" ht="27.75" customHeight="1">
      <c r="A2" s="469" t="s">
        <v>725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4" spans="1:11" ht="25.5">
      <c r="A4" s="429" t="s">
        <v>107</v>
      </c>
      <c r="B4" s="422" t="s">
        <v>402</v>
      </c>
      <c r="C4" s="258" t="s">
        <v>578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258"/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23.25" customHeight="1">
      <c r="A7" s="462">
        <v>1</v>
      </c>
      <c r="B7" s="287" t="s">
        <v>716</v>
      </c>
      <c r="C7" s="286" t="s">
        <v>717</v>
      </c>
      <c r="D7" s="303" t="s">
        <v>408</v>
      </c>
      <c r="E7" s="303" t="s">
        <v>408</v>
      </c>
      <c r="F7" s="303" t="s">
        <v>408</v>
      </c>
      <c r="G7" s="303" t="s">
        <v>408</v>
      </c>
      <c r="H7" s="303" t="s">
        <v>408</v>
      </c>
      <c r="I7" s="303" t="s">
        <v>408</v>
      </c>
      <c r="J7" s="303" t="s">
        <v>408</v>
      </c>
      <c r="K7" s="303" t="s">
        <v>408</v>
      </c>
    </row>
    <row r="8" spans="1:11" ht="15" customHeight="1">
      <c r="A8" s="462"/>
      <c r="B8" s="467" t="s">
        <v>702</v>
      </c>
      <c r="C8" s="286" t="s">
        <v>718</v>
      </c>
      <c r="D8" s="303" t="s">
        <v>408</v>
      </c>
      <c r="E8" s="303" t="s">
        <v>408</v>
      </c>
      <c r="F8" s="303" t="s">
        <v>408</v>
      </c>
      <c r="G8" s="303" t="s">
        <v>408</v>
      </c>
      <c r="H8" s="303" t="s">
        <v>408</v>
      </c>
      <c r="I8" s="303" t="s">
        <v>408</v>
      </c>
      <c r="J8" s="303" t="s">
        <v>408</v>
      </c>
      <c r="K8" s="303" t="s">
        <v>408</v>
      </c>
    </row>
    <row r="9" spans="1:11" ht="12.75">
      <c r="A9" s="462"/>
      <c r="B9" s="468"/>
      <c r="C9" s="286" t="s">
        <v>704</v>
      </c>
      <c r="D9" s="303" t="s">
        <v>408</v>
      </c>
      <c r="E9" s="303" t="s">
        <v>408</v>
      </c>
      <c r="F9" s="303" t="s">
        <v>408</v>
      </c>
      <c r="G9" s="303" t="s">
        <v>408</v>
      </c>
      <c r="H9" s="303" t="s">
        <v>408</v>
      </c>
      <c r="I9" s="303" t="s">
        <v>408</v>
      </c>
      <c r="J9" s="303" t="s">
        <v>408</v>
      </c>
      <c r="K9" s="303" t="s">
        <v>408</v>
      </c>
    </row>
    <row r="10" spans="1:11" ht="25.5" customHeight="1">
      <c r="A10" s="462" t="s">
        <v>60</v>
      </c>
      <c r="B10" s="287" t="s">
        <v>719</v>
      </c>
      <c r="C10" s="286" t="s">
        <v>717</v>
      </c>
      <c r="D10" s="303" t="s">
        <v>408</v>
      </c>
      <c r="E10" s="303" t="s">
        <v>408</v>
      </c>
      <c r="F10" s="303" t="s">
        <v>408</v>
      </c>
      <c r="G10" s="303" t="s">
        <v>408</v>
      </c>
      <c r="H10" s="303" t="s">
        <v>408</v>
      </c>
      <c r="I10" s="303" t="s">
        <v>408</v>
      </c>
      <c r="J10" s="303" t="s">
        <v>408</v>
      </c>
      <c r="K10" s="303" t="s">
        <v>408</v>
      </c>
    </row>
    <row r="11" spans="1:11" ht="14.25" customHeight="1">
      <c r="A11" s="462"/>
      <c r="B11" s="467" t="s">
        <v>724</v>
      </c>
      <c r="C11" s="286" t="s">
        <v>704</v>
      </c>
      <c r="D11" s="303" t="s">
        <v>408</v>
      </c>
      <c r="E11" s="303" t="s">
        <v>408</v>
      </c>
      <c r="F11" s="303" t="s">
        <v>408</v>
      </c>
      <c r="G11" s="303" t="s">
        <v>408</v>
      </c>
      <c r="H11" s="303" t="s">
        <v>408</v>
      </c>
      <c r="I11" s="303" t="s">
        <v>408</v>
      </c>
      <c r="J11" s="303" t="s">
        <v>408</v>
      </c>
      <c r="K11" s="303" t="s">
        <v>408</v>
      </c>
    </row>
    <row r="12" spans="1:11" ht="12.75">
      <c r="A12" s="462"/>
      <c r="B12" s="468"/>
      <c r="C12" s="288" t="s">
        <v>704</v>
      </c>
      <c r="D12" s="307" t="s">
        <v>408</v>
      </c>
      <c r="E12" s="307" t="s">
        <v>408</v>
      </c>
      <c r="F12" s="307" t="s">
        <v>408</v>
      </c>
      <c r="G12" s="307" t="s">
        <v>408</v>
      </c>
      <c r="H12" s="307" t="s">
        <v>408</v>
      </c>
      <c r="I12" s="307" t="s">
        <v>408</v>
      </c>
      <c r="J12" s="307" t="s">
        <v>408</v>
      </c>
      <c r="K12" s="307" t="s">
        <v>408</v>
      </c>
    </row>
    <row r="13" spans="1:11" ht="24">
      <c r="A13" s="462">
        <v>3</v>
      </c>
      <c r="B13" s="287" t="s">
        <v>720</v>
      </c>
      <c r="C13" s="286" t="s">
        <v>717</v>
      </c>
      <c r="D13" s="303">
        <f>D16+D19+D22+D25</f>
        <v>4</v>
      </c>
      <c r="E13" s="303">
        <v>0</v>
      </c>
      <c r="F13" s="303">
        <v>0</v>
      </c>
      <c r="G13" s="303">
        <f>G16</f>
        <v>1</v>
      </c>
      <c r="H13" s="303">
        <f>H19</f>
        <v>1</v>
      </c>
      <c r="I13" s="303">
        <f>I22</f>
        <v>1</v>
      </c>
      <c r="J13" s="303">
        <f>J25</f>
        <v>1</v>
      </c>
      <c r="K13" s="303">
        <v>0</v>
      </c>
    </row>
    <row r="14" spans="1:11" ht="13.5" customHeight="1">
      <c r="A14" s="462"/>
      <c r="B14" s="467" t="s">
        <v>702</v>
      </c>
      <c r="C14" s="286" t="s">
        <v>721</v>
      </c>
      <c r="D14" s="308">
        <f>D17+D20+D23+D26</f>
        <v>200</v>
      </c>
      <c r="E14" s="308">
        <v>0</v>
      </c>
      <c r="F14" s="308">
        <v>0</v>
      </c>
      <c r="G14" s="308">
        <f>G17</f>
        <v>50</v>
      </c>
      <c r="H14" s="308">
        <f>H20</f>
        <v>50</v>
      </c>
      <c r="I14" s="308">
        <f>I23</f>
        <v>50</v>
      </c>
      <c r="J14" s="308">
        <f>J26</f>
        <v>50</v>
      </c>
      <c r="K14" s="308" t="s">
        <v>3</v>
      </c>
    </row>
    <row r="15" spans="1:11" ht="12.75">
      <c r="A15" s="462"/>
      <c r="B15" s="468"/>
      <c r="C15" s="286" t="s">
        <v>704</v>
      </c>
      <c r="D15" s="309">
        <f>D18+D21+D24+D27</f>
        <v>25</v>
      </c>
      <c r="E15" s="303">
        <v>0</v>
      </c>
      <c r="F15" s="303">
        <v>0</v>
      </c>
      <c r="G15" s="309">
        <f>G18</f>
        <v>6</v>
      </c>
      <c r="H15" s="309">
        <f>H21</f>
        <v>8</v>
      </c>
      <c r="I15" s="309">
        <f>I24</f>
        <v>5</v>
      </c>
      <c r="J15" s="309">
        <f>J27</f>
        <v>6</v>
      </c>
      <c r="K15" s="309" t="s">
        <v>3</v>
      </c>
    </row>
    <row r="16" spans="1:11" ht="12.75">
      <c r="A16" s="461" t="s">
        <v>678</v>
      </c>
      <c r="B16" s="465" t="s">
        <v>722</v>
      </c>
      <c r="C16" s="288" t="s">
        <v>717</v>
      </c>
      <c r="D16" s="310">
        <f>G16</f>
        <v>1</v>
      </c>
      <c r="E16" s="307" t="s">
        <v>408</v>
      </c>
      <c r="F16" s="307" t="s">
        <v>408</v>
      </c>
      <c r="G16" s="307">
        <v>1</v>
      </c>
      <c r="H16" s="307" t="s">
        <v>408</v>
      </c>
      <c r="I16" s="307" t="s">
        <v>408</v>
      </c>
      <c r="J16" s="307" t="s">
        <v>408</v>
      </c>
      <c r="K16" s="307" t="s">
        <v>408</v>
      </c>
    </row>
    <row r="17" spans="1:11" ht="12.75">
      <c r="A17" s="461"/>
      <c r="B17" s="465"/>
      <c r="C17" s="288" t="s">
        <v>721</v>
      </c>
      <c r="D17" s="307">
        <f>G17</f>
        <v>50</v>
      </c>
      <c r="E17" s="307" t="s">
        <v>408</v>
      </c>
      <c r="F17" s="307" t="s">
        <v>408</v>
      </c>
      <c r="G17" s="307">
        <v>50</v>
      </c>
      <c r="H17" s="307" t="s">
        <v>408</v>
      </c>
      <c r="I17" s="307" t="s">
        <v>408</v>
      </c>
      <c r="J17" s="307" t="s">
        <v>408</v>
      </c>
      <c r="K17" s="307" t="s">
        <v>408</v>
      </c>
    </row>
    <row r="18" spans="1:11" ht="12.75">
      <c r="A18" s="461"/>
      <c r="B18" s="465"/>
      <c r="C18" s="288" t="s">
        <v>704</v>
      </c>
      <c r="D18" s="311">
        <f>G18</f>
        <v>6</v>
      </c>
      <c r="E18" s="307" t="s">
        <v>408</v>
      </c>
      <c r="F18" s="307" t="s">
        <v>408</v>
      </c>
      <c r="G18" s="307">
        <v>6</v>
      </c>
      <c r="H18" s="307" t="s">
        <v>408</v>
      </c>
      <c r="I18" s="307" t="s">
        <v>408</v>
      </c>
      <c r="J18" s="307" t="s">
        <v>408</v>
      </c>
      <c r="K18" s="307" t="s">
        <v>408</v>
      </c>
    </row>
    <row r="19" spans="1:11" ht="12.75">
      <c r="A19" s="461" t="s">
        <v>679</v>
      </c>
      <c r="B19" s="465" t="s">
        <v>460</v>
      </c>
      <c r="C19" s="288" t="s">
        <v>717</v>
      </c>
      <c r="D19" s="307">
        <f>H19</f>
        <v>1</v>
      </c>
      <c r="E19" s="307" t="s">
        <v>408</v>
      </c>
      <c r="F19" s="307" t="s">
        <v>408</v>
      </c>
      <c r="G19" s="307" t="s">
        <v>408</v>
      </c>
      <c r="H19" s="307">
        <v>1</v>
      </c>
      <c r="I19" s="307" t="s">
        <v>408</v>
      </c>
      <c r="J19" s="307" t="s">
        <v>408</v>
      </c>
      <c r="K19" s="307" t="s">
        <v>408</v>
      </c>
    </row>
    <row r="20" spans="1:11" ht="12.75">
      <c r="A20" s="461"/>
      <c r="B20" s="465"/>
      <c r="C20" s="288" t="s">
        <v>721</v>
      </c>
      <c r="D20" s="307">
        <f>H20</f>
        <v>50</v>
      </c>
      <c r="E20" s="307" t="s">
        <v>408</v>
      </c>
      <c r="F20" s="307" t="s">
        <v>408</v>
      </c>
      <c r="G20" s="307" t="s">
        <v>408</v>
      </c>
      <c r="H20" s="307">
        <v>50</v>
      </c>
      <c r="I20" s="307" t="s">
        <v>408</v>
      </c>
      <c r="J20" s="307" t="s">
        <v>408</v>
      </c>
      <c r="K20" s="307" t="s">
        <v>408</v>
      </c>
    </row>
    <row r="21" spans="1:11" ht="12.75">
      <c r="A21" s="461"/>
      <c r="B21" s="465"/>
      <c r="C21" s="288" t="s">
        <v>704</v>
      </c>
      <c r="D21" s="311">
        <f>H21</f>
        <v>8</v>
      </c>
      <c r="E21" s="307" t="s">
        <v>408</v>
      </c>
      <c r="F21" s="307" t="s">
        <v>408</v>
      </c>
      <c r="G21" s="307" t="s">
        <v>408</v>
      </c>
      <c r="H21" s="307">
        <v>8</v>
      </c>
      <c r="I21" s="307" t="s">
        <v>408</v>
      </c>
      <c r="J21" s="307" t="s">
        <v>408</v>
      </c>
      <c r="K21" s="307" t="s">
        <v>408</v>
      </c>
    </row>
    <row r="22" spans="1:11" ht="12.75">
      <c r="A22" s="461" t="s">
        <v>698</v>
      </c>
      <c r="B22" s="465" t="s">
        <v>463</v>
      </c>
      <c r="C22" s="288" t="s">
        <v>717</v>
      </c>
      <c r="D22" s="307">
        <f>I22</f>
        <v>1</v>
      </c>
      <c r="E22" s="307" t="s">
        <v>408</v>
      </c>
      <c r="F22" s="307" t="s">
        <v>408</v>
      </c>
      <c r="G22" s="307" t="s">
        <v>408</v>
      </c>
      <c r="H22" s="307" t="s">
        <v>408</v>
      </c>
      <c r="I22" s="307">
        <v>1</v>
      </c>
      <c r="J22" s="307" t="s">
        <v>408</v>
      </c>
      <c r="K22" s="307" t="s">
        <v>408</v>
      </c>
    </row>
    <row r="23" spans="1:11" ht="12.75">
      <c r="A23" s="461"/>
      <c r="B23" s="465"/>
      <c r="C23" s="288" t="s">
        <v>721</v>
      </c>
      <c r="D23" s="307">
        <f>I23</f>
        <v>50</v>
      </c>
      <c r="E23" s="307" t="s">
        <v>408</v>
      </c>
      <c r="F23" s="307" t="s">
        <v>408</v>
      </c>
      <c r="G23" s="307" t="s">
        <v>408</v>
      </c>
      <c r="H23" s="307" t="s">
        <v>408</v>
      </c>
      <c r="I23" s="307">
        <v>50</v>
      </c>
      <c r="J23" s="307" t="s">
        <v>408</v>
      </c>
      <c r="K23" s="307" t="s">
        <v>408</v>
      </c>
    </row>
    <row r="24" spans="1:11" ht="12.75">
      <c r="A24" s="461"/>
      <c r="B24" s="465"/>
      <c r="C24" s="288" t="s">
        <v>704</v>
      </c>
      <c r="D24" s="311">
        <f>I24</f>
        <v>5</v>
      </c>
      <c r="E24" s="307" t="s">
        <v>408</v>
      </c>
      <c r="F24" s="307" t="s">
        <v>408</v>
      </c>
      <c r="G24" s="307" t="s">
        <v>408</v>
      </c>
      <c r="H24" s="307" t="s">
        <v>408</v>
      </c>
      <c r="I24" s="307">
        <v>5</v>
      </c>
      <c r="J24" s="307" t="s">
        <v>408</v>
      </c>
      <c r="K24" s="307" t="s">
        <v>408</v>
      </c>
    </row>
    <row r="25" spans="1:11" ht="12.75">
      <c r="A25" s="461" t="s">
        <v>727</v>
      </c>
      <c r="B25" s="465" t="s">
        <v>464</v>
      </c>
      <c r="C25" s="288" t="s">
        <v>717</v>
      </c>
      <c r="D25" s="307">
        <f>J25</f>
        <v>1</v>
      </c>
      <c r="E25" s="307" t="s">
        <v>408</v>
      </c>
      <c r="F25" s="307" t="s">
        <v>408</v>
      </c>
      <c r="G25" s="307" t="s">
        <v>408</v>
      </c>
      <c r="H25" s="307" t="s">
        <v>408</v>
      </c>
      <c r="I25" s="307" t="s">
        <v>408</v>
      </c>
      <c r="J25" s="307">
        <v>1</v>
      </c>
      <c r="K25" s="307" t="s">
        <v>408</v>
      </c>
    </row>
    <row r="26" spans="1:11" ht="12.75">
      <c r="A26" s="461"/>
      <c r="B26" s="465"/>
      <c r="C26" s="288" t="s">
        <v>721</v>
      </c>
      <c r="D26" s="307">
        <f>J26</f>
        <v>50</v>
      </c>
      <c r="E26" s="307" t="s">
        <v>408</v>
      </c>
      <c r="F26" s="307" t="s">
        <v>408</v>
      </c>
      <c r="G26" s="307" t="s">
        <v>408</v>
      </c>
      <c r="H26" s="307" t="s">
        <v>408</v>
      </c>
      <c r="I26" s="307" t="s">
        <v>408</v>
      </c>
      <c r="J26" s="307">
        <v>50</v>
      </c>
      <c r="K26" s="307" t="s">
        <v>408</v>
      </c>
    </row>
    <row r="27" spans="1:11" ht="12.75">
      <c r="A27" s="461"/>
      <c r="B27" s="465"/>
      <c r="C27" s="288" t="s">
        <v>704</v>
      </c>
      <c r="D27" s="311">
        <f>J27</f>
        <v>6</v>
      </c>
      <c r="E27" s="307" t="s">
        <v>408</v>
      </c>
      <c r="F27" s="307" t="s">
        <v>408</v>
      </c>
      <c r="G27" s="307" t="s">
        <v>408</v>
      </c>
      <c r="H27" s="307" t="s">
        <v>408</v>
      </c>
      <c r="I27" s="307" t="s">
        <v>408</v>
      </c>
      <c r="J27" s="307">
        <v>6</v>
      </c>
      <c r="K27" s="307" t="s">
        <v>408</v>
      </c>
    </row>
    <row r="28" spans="1:11" ht="24">
      <c r="A28" s="466">
        <v>4</v>
      </c>
      <c r="B28" s="287" t="s">
        <v>723</v>
      </c>
      <c r="C28" s="286" t="s">
        <v>717</v>
      </c>
      <c r="D28" s="303" t="s">
        <v>408</v>
      </c>
      <c r="E28" s="303" t="s">
        <v>408</v>
      </c>
      <c r="F28" s="303" t="s">
        <v>408</v>
      </c>
      <c r="G28" s="303" t="s">
        <v>408</v>
      </c>
      <c r="H28" s="303" t="s">
        <v>408</v>
      </c>
      <c r="I28" s="303" t="s">
        <v>408</v>
      </c>
      <c r="J28" s="303" t="s">
        <v>408</v>
      </c>
      <c r="K28" s="303" t="s">
        <v>408</v>
      </c>
    </row>
    <row r="29" spans="1:11" ht="12.75">
      <c r="A29" s="466"/>
      <c r="B29" s="463" t="s">
        <v>702</v>
      </c>
      <c r="C29" s="286" t="s">
        <v>617</v>
      </c>
      <c r="D29" s="303" t="s">
        <v>408</v>
      </c>
      <c r="E29" s="303" t="s">
        <v>408</v>
      </c>
      <c r="F29" s="303" t="s">
        <v>408</v>
      </c>
      <c r="G29" s="303" t="s">
        <v>408</v>
      </c>
      <c r="H29" s="303" t="s">
        <v>408</v>
      </c>
      <c r="I29" s="303" t="s">
        <v>408</v>
      </c>
      <c r="J29" s="303" t="s">
        <v>408</v>
      </c>
      <c r="K29" s="303" t="s">
        <v>408</v>
      </c>
    </row>
    <row r="30" spans="1:11" ht="12.75">
      <c r="A30" s="466"/>
      <c r="B30" s="464"/>
      <c r="C30" s="286" t="s">
        <v>704</v>
      </c>
      <c r="D30" s="303" t="s">
        <v>408</v>
      </c>
      <c r="E30" s="303" t="s">
        <v>408</v>
      </c>
      <c r="F30" s="303" t="s">
        <v>408</v>
      </c>
      <c r="G30" s="303" t="s">
        <v>408</v>
      </c>
      <c r="H30" s="303" t="s">
        <v>408</v>
      </c>
      <c r="I30" s="303" t="s">
        <v>408</v>
      </c>
      <c r="J30" s="303" t="s">
        <v>408</v>
      </c>
      <c r="K30" s="303" t="s">
        <v>408</v>
      </c>
    </row>
    <row r="31" spans="1:11" ht="12.75">
      <c r="A31" s="466"/>
      <c r="B31" s="260"/>
      <c r="C31" s="288" t="s">
        <v>617</v>
      </c>
      <c r="D31" s="303" t="s">
        <v>408</v>
      </c>
      <c r="E31" s="303" t="s">
        <v>408</v>
      </c>
      <c r="F31" s="303" t="s">
        <v>408</v>
      </c>
      <c r="G31" s="303" t="s">
        <v>408</v>
      </c>
      <c r="H31" s="303" t="s">
        <v>408</v>
      </c>
      <c r="I31" s="303" t="s">
        <v>408</v>
      </c>
      <c r="J31" s="303" t="s">
        <v>408</v>
      </c>
      <c r="K31" s="303" t="s">
        <v>408</v>
      </c>
    </row>
    <row r="32" spans="1:11" ht="12.75">
      <c r="A32" s="466"/>
      <c r="B32" s="260"/>
      <c r="C32" s="288" t="s">
        <v>704</v>
      </c>
      <c r="D32" s="303" t="s">
        <v>408</v>
      </c>
      <c r="E32" s="303" t="s">
        <v>408</v>
      </c>
      <c r="F32" s="303" t="s">
        <v>408</v>
      </c>
      <c r="G32" s="303" t="s">
        <v>408</v>
      </c>
      <c r="H32" s="303" t="s">
        <v>408</v>
      </c>
      <c r="I32" s="303" t="s">
        <v>408</v>
      </c>
      <c r="J32" s="303" t="s">
        <v>408</v>
      </c>
      <c r="K32" s="303" t="s">
        <v>408</v>
      </c>
    </row>
  </sheetData>
  <sheetProtection/>
  <mergeCells count="21">
    <mergeCell ref="B16:B18"/>
    <mergeCell ref="B22:B24"/>
    <mergeCell ref="A7:A9"/>
    <mergeCell ref="A10:A12"/>
    <mergeCell ref="D4:D5"/>
    <mergeCell ref="B4:B5"/>
    <mergeCell ref="A2:K2"/>
    <mergeCell ref="A19:A21"/>
    <mergeCell ref="B19:B21"/>
    <mergeCell ref="B11:B12"/>
    <mergeCell ref="B14:B15"/>
    <mergeCell ref="A22:A24"/>
    <mergeCell ref="A4:A5"/>
    <mergeCell ref="A16:A18"/>
    <mergeCell ref="A13:A15"/>
    <mergeCell ref="E4:K4"/>
    <mergeCell ref="B29:B30"/>
    <mergeCell ref="A25:A27"/>
    <mergeCell ref="B25:B27"/>
    <mergeCell ref="A28:A32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106"/>
  <sheetViews>
    <sheetView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9" sqref="E99"/>
    </sheetView>
  </sheetViews>
  <sheetFormatPr defaultColWidth="9.00390625" defaultRowHeight="12.75"/>
  <cols>
    <col min="1" max="1" width="5.00390625" style="0" customWidth="1"/>
    <col min="2" max="2" width="57.75390625" style="0" customWidth="1"/>
    <col min="4" max="4" width="8.75390625" style="0" customWidth="1"/>
  </cols>
  <sheetData>
    <row r="1" ht="12.75">
      <c r="J1" s="220" t="s">
        <v>776</v>
      </c>
    </row>
    <row r="2" spans="1:11" s="275" customFormat="1" ht="28.5" customHeight="1">
      <c r="A2" s="438" t="s">
        <v>777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2.75">
      <c r="A4" s="429" t="s">
        <v>107</v>
      </c>
      <c r="B4" s="422" t="s">
        <v>402</v>
      </c>
      <c r="C4" s="258" t="s">
        <v>684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258" t="s">
        <v>685</v>
      </c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13.5" customHeight="1">
      <c r="A7" s="422">
        <v>1</v>
      </c>
      <c r="B7" s="264" t="s">
        <v>728</v>
      </c>
      <c r="C7" s="258" t="s">
        <v>627</v>
      </c>
      <c r="D7" s="294">
        <v>27.1</v>
      </c>
      <c r="E7" s="294">
        <f>E9+E17+E25</f>
        <v>0</v>
      </c>
      <c r="F7" s="294">
        <f>F15+F19+F21+F23</f>
        <v>7.3</v>
      </c>
      <c r="G7" s="304">
        <f>G19</f>
        <v>7</v>
      </c>
      <c r="H7" s="294">
        <f>H11+H13</f>
        <v>3.8</v>
      </c>
      <c r="I7" s="294" t="s">
        <v>408</v>
      </c>
      <c r="J7" s="294" t="s">
        <v>408</v>
      </c>
      <c r="K7" s="294" t="s">
        <v>408</v>
      </c>
    </row>
    <row r="8" spans="1:11" ht="13.5" customHeight="1">
      <c r="A8" s="422"/>
      <c r="B8" s="264" t="s">
        <v>702</v>
      </c>
      <c r="C8" s="258" t="s">
        <v>704</v>
      </c>
      <c r="D8" s="305">
        <f>SUM(E8:K8)</f>
        <v>20.36</v>
      </c>
      <c r="E8" s="294">
        <f>E10+E18+E26</f>
        <v>0</v>
      </c>
      <c r="F8" s="306">
        <f>F16+F20+F22+F24</f>
        <v>7.2</v>
      </c>
      <c r="G8" s="294">
        <f>G20</f>
        <v>8.37</v>
      </c>
      <c r="H8" s="294">
        <f>H12+H14</f>
        <v>4.79</v>
      </c>
      <c r="I8" s="294" t="s">
        <v>408</v>
      </c>
      <c r="J8" s="294" t="s">
        <v>408</v>
      </c>
      <c r="K8" s="294" t="s">
        <v>408</v>
      </c>
    </row>
    <row r="9" spans="1:11" ht="13.5" customHeight="1">
      <c r="A9" s="450" t="s">
        <v>429</v>
      </c>
      <c r="B9" s="457" t="s">
        <v>457</v>
      </c>
      <c r="C9" s="273" t="s">
        <v>627</v>
      </c>
      <c r="D9" s="293">
        <f aca="true" t="shared" si="0" ref="D9:D26">SUM(E9:K9)</f>
        <v>2.5</v>
      </c>
      <c r="E9" s="293">
        <v>0</v>
      </c>
      <c r="F9" s="293">
        <v>2.5</v>
      </c>
      <c r="G9" s="293" t="s">
        <v>408</v>
      </c>
      <c r="H9" s="293" t="s">
        <v>408</v>
      </c>
      <c r="I9" s="293" t="s">
        <v>408</v>
      </c>
      <c r="J9" s="293" t="s">
        <v>408</v>
      </c>
      <c r="K9" s="293" t="s">
        <v>408</v>
      </c>
    </row>
    <row r="10" spans="1:11" ht="13.5" customHeight="1">
      <c r="A10" s="450"/>
      <c r="B10" s="457"/>
      <c r="C10" s="273" t="s">
        <v>704</v>
      </c>
      <c r="D10" s="293">
        <f t="shared" si="0"/>
        <v>2.47</v>
      </c>
      <c r="E10" s="293">
        <v>0</v>
      </c>
      <c r="F10" s="293">
        <v>2.47</v>
      </c>
      <c r="G10" s="293" t="s">
        <v>408</v>
      </c>
      <c r="H10" s="293" t="s">
        <v>408</v>
      </c>
      <c r="I10" s="293" t="s">
        <v>408</v>
      </c>
      <c r="J10" s="293" t="s">
        <v>408</v>
      </c>
      <c r="K10" s="293" t="s">
        <v>408</v>
      </c>
    </row>
    <row r="11" spans="1:11" ht="13.5" customHeight="1">
      <c r="A11" s="450" t="s">
        <v>430</v>
      </c>
      <c r="B11" s="457" t="s">
        <v>458</v>
      </c>
      <c r="C11" s="273" t="s">
        <v>627</v>
      </c>
      <c r="D11" s="293">
        <f t="shared" si="0"/>
        <v>1.8</v>
      </c>
      <c r="E11" s="293" t="s">
        <v>408</v>
      </c>
      <c r="F11" s="293" t="s">
        <v>408</v>
      </c>
      <c r="G11" s="293" t="s">
        <v>408</v>
      </c>
      <c r="H11" s="293">
        <v>1.8</v>
      </c>
      <c r="I11" s="293" t="s">
        <v>408</v>
      </c>
      <c r="J11" s="293" t="s">
        <v>408</v>
      </c>
      <c r="K11" s="293" t="s">
        <v>408</v>
      </c>
    </row>
    <row r="12" spans="1:11" ht="13.5" customHeight="1">
      <c r="A12" s="450"/>
      <c r="B12" s="457"/>
      <c r="C12" s="273" t="s">
        <v>704</v>
      </c>
      <c r="D12" s="293">
        <f t="shared" si="0"/>
        <v>2.39</v>
      </c>
      <c r="E12" s="293" t="s">
        <v>408</v>
      </c>
      <c r="F12" s="293" t="s">
        <v>408</v>
      </c>
      <c r="G12" s="293" t="s">
        <v>408</v>
      </c>
      <c r="H12" s="293">
        <v>2.39</v>
      </c>
      <c r="I12" s="293" t="s">
        <v>408</v>
      </c>
      <c r="J12" s="293" t="s">
        <v>408</v>
      </c>
      <c r="K12" s="293" t="s">
        <v>408</v>
      </c>
    </row>
    <row r="13" spans="1:11" ht="13.5" customHeight="1">
      <c r="A13" s="450" t="s">
        <v>431</v>
      </c>
      <c r="B13" s="457" t="s">
        <v>459</v>
      </c>
      <c r="C13" s="273" t="s">
        <v>627</v>
      </c>
      <c r="D13" s="293">
        <f t="shared" si="0"/>
        <v>2</v>
      </c>
      <c r="E13" s="293" t="s">
        <v>408</v>
      </c>
      <c r="F13" s="293" t="s">
        <v>408</v>
      </c>
      <c r="G13" s="293" t="s">
        <v>408</v>
      </c>
      <c r="H13" s="293">
        <v>2</v>
      </c>
      <c r="I13" s="293" t="s">
        <v>408</v>
      </c>
      <c r="J13" s="293" t="s">
        <v>408</v>
      </c>
      <c r="K13" s="293" t="s">
        <v>408</v>
      </c>
    </row>
    <row r="14" spans="1:11" ht="13.5" customHeight="1">
      <c r="A14" s="450"/>
      <c r="B14" s="457"/>
      <c r="C14" s="273" t="s">
        <v>704</v>
      </c>
      <c r="D14" s="293">
        <f t="shared" si="0"/>
        <v>2.4</v>
      </c>
      <c r="E14" s="293" t="s">
        <v>408</v>
      </c>
      <c r="F14" s="293" t="s">
        <v>408</v>
      </c>
      <c r="G14" s="293" t="s">
        <v>408</v>
      </c>
      <c r="H14" s="293">
        <v>2.4</v>
      </c>
      <c r="I14" s="293" t="s">
        <v>408</v>
      </c>
      <c r="J14" s="293" t="s">
        <v>408</v>
      </c>
      <c r="K14" s="293" t="s">
        <v>408</v>
      </c>
    </row>
    <row r="15" spans="1:11" ht="13.5" customHeight="1">
      <c r="A15" s="450" t="s">
        <v>432</v>
      </c>
      <c r="B15" s="457" t="s">
        <v>460</v>
      </c>
      <c r="C15" s="273" t="s">
        <v>627</v>
      </c>
      <c r="D15" s="298">
        <f t="shared" si="0"/>
        <v>1</v>
      </c>
      <c r="E15" s="293" t="s">
        <v>408</v>
      </c>
      <c r="F15" s="298">
        <v>1</v>
      </c>
      <c r="G15" s="293" t="s">
        <v>408</v>
      </c>
      <c r="H15" s="293" t="s">
        <v>408</v>
      </c>
      <c r="I15" s="293" t="s">
        <v>408</v>
      </c>
      <c r="J15" s="293" t="s">
        <v>408</v>
      </c>
      <c r="K15" s="293" t="s">
        <v>408</v>
      </c>
    </row>
    <row r="16" spans="1:11" ht="13.5" customHeight="1">
      <c r="A16" s="450"/>
      <c r="B16" s="457"/>
      <c r="C16" s="273" t="s">
        <v>704</v>
      </c>
      <c r="D16" s="293">
        <f t="shared" si="0"/>
        <v>1.09</v>
      </c>
      <c r="E16" s="293" t="s">
        <v>408</v>
      </c>
      <c r="F16" s="293">
        <v>1.09</v>
      </c>
      <c r="G16" s="293" t="s">
        <v>408</v>
      </c>
      <c r="H16" s="293" t="s">
        <v>408</v>
      </c>
      <c r="I16" s="293" t="s">
        <v>408</v>
      </c>
      <c r="J16" s="293" t="s">
        <v>408</v>
      </c>
      <c r="K16" s="293" t="s">
        <v>408</v>
      </c>
    </row>
    <row r="17" spans="1:11" ht="13.5" customHeight="1">
      <c r="A17" s="450" t="s">
        <v>433</v>
      </c>
      <c r="B17" s="457" t="s">
        <v>462</v>
      </c>
      <c r="C17" s="273" t="s">
        <v>627</v>
      </c>
      <c r="D17" s="293">
        <f t="shared" si="0"/>
        <v>5.5</v>
      </c>
      <c r="E17" s="293">
        <v>0</v>
      </c>
      <c r="F17" s="293">
        <v>5.5</v>
      </c>
      <c r="G17" s="293" t="s">
        <v>408</v>
      </c>
      <c r="H17" s="293" t="s">
        <v>408</v>
      </c>
      <c r="I17" s="293" t="s">
        <v>408</v>
      </c>
      <c r="J17" s="293" t="s">
        <v>408</v>
      </c>
      <c r="K17" s="293" t="s">
        <v>408</v>
      </c>
    </row>
    <row r="18" spans="1:11" ht="13.5" customHeight="1">
      <c r="A18" s="450"/>
      <c r="B18" s="457"/>
      <c r="C18" s="273" t="s">
        <v>704</v>
      </c>
      <c r="D18" s="293">
        <f t="shared" si="0"/>
        <v>5.43</v>
      </c>
      <c r="E18" s="293">
        <v>0</v>
      </c>
      <c r="F18" s="293">
        <v>5.43</v>
      </c>
      <c r="G18" s="293" t="s">
        <v>408</v>
      </c>
      <c r="H18" s="293" t="s">
        <v>408</v>
      </c>
      <c r="I18" s="293" t="s">
        <v>408</v>
      </c>
      <c r="J18" s="293" t="s">
        <v>408</v>
      </c>
      <c r="K18" s="293" t="s">
        <v>408</v>
      </c>
    </row>
    <row r="19" spans="1:11" ht="13.5" customHeight="1">
      <c r="A19" s="450" t="s">
        <v>708</v>
      </c>
      <c r="B19" s="457" t="s">
        <v>464</v>
      </c>
      <c r="C19" s="273" t="s">
        <v>627</v>
      </c>
      <c r="D19" s="298">
        <f t="shared" si="0"/>
        <v>9</v>
      </c>
      <c r="E19" s="293" t="s">
        <v>408</v>
      </c>
      <c r="F19" s="298">
        <v>2</v>
      </c>
      <c r="G19" s="298">
        <v>7</v>
      </c>
      <c r="H19" s="293" t="s">
        <v>408</v>
      </c>
      <c r="I19" s="293" t="s">
        <v>408</v>
      </c>
      <c r="J19" s="293" t="s">
        <v>408</v>
      </c>
      <c r="K19" s="293" t="s">
        <v>408</v>
      </c>
    </row>
    <row r="20" spans="1:11" ht="13.5" customHeight="1">
      <c r="A20" s="450"/>
      <c r="B20" s="457"/>
      <c r="C20" s="273" t="s">
        <v>704</v>
      </c>
      <c r="D20" s="293">
        <f t="shared" si="0"/>
        <v>10.35</v>
      </c>
      <c r="E20" s="293" t="s">
        <v>408</v>
      </c>
      <c r="F20" s="293">
        <v>1.98</v>
      </c>
      <c r="G20" s="293">
        <v>8.37</v>
      </c>
      <c r="H20" s="293" t="s">
        <v>408</v>
      </c>
      <c r="I20" s="293" t="s">
        <v>408</v>
      </c>
      <c r="J20" s="293" t="s">
        <v>408</v>
      </c>
      <c r="K20" s="293" t="s">
        <v>408</v>
      </c>
    </row>
    <row r="21" spans="1:11" ht="13.5" customHeight="1">
      <c r="A21" s="450" t="s">
        <v>709</v>
      </c>
      <c r="B21" s="457" t="s">
        <v>465</v>
      </c>
      <c r="C21" s="273" t="s">
        <v>627</v>
      </c>
      <c r="D21" s="293">
        <f t="shared" si="0"/>
        <v>1.8</v>
      </c>
      <c r="E21" s="293" t="s">
        <v>408</v>
      </c>
      <c r="F21" s="293">
        <v>1.8</v>
      </c>
      <c r="G21" s="293" t="s">
        <v>408</v>
      </c>
      <c r="H21" s="293" t="s">
        <v>408</v>
      </c>
      <c r="I21" s="293" t="s">
        <v>408</v>
      </c>
      <c r="J21" s="293" t="s">
        <v>408</v>
      </c>
      <c r="K21" s="293" t="s">
        <v>408</v>
      </c>
    </row>
    <row r="22" spans="1:11" ht="13.5" customHeight="1">
      <c r="A22" s="450"/>
      <c r="B22" s="457"/>
      <c r="C22" s="273" t="s">
        <v>704</v>
      </c>
      <c r="D22" s="293">
        <f t="shared" si="0"/>
        <v>1.96</v>
      </c>
      <c r="E22" s="293" t="s">
        <v>408</v>
      </c>
      <c r="F22" s="293">
        <v>1.96</v>
      </c>
      <c r="G22" s="293" t="s">
        <v>408</v>
      </c>
      <c r="H22" s="293" t="s">
        <v>408</v>
      </c>
      <c r="I22" s="293" t="s">
        <v>408</v>
      </c>
      <c r="J22" s="293" t="s">
        <v>408</v>
      </c>
      <c r="K22" s="293" t="s">
        <v>408</v>
      </c>
    </row>
    <row r="23" spans="1:11" ht="13.5" customHeight="1">
      <c r="A23" s="450" t="s">
        <v>710</v>
      </c>
      <c r="B23" s="457" t="s">
        <v>466</v>
      </c>
      <c r="C23" s="273" t="s">
        <v>627</v>
      </c>
      <c r="D23" s="293">
        <f t="shared" si="0"/>
        <v>2.5</v>
      </c>
      <c r="E23" s="293" t="s">
        <v>408</v>
      </c>
      <c r="F23" s="293">
        <v>2.5</v>
      </c>
      <c r="G23" s="293" t="s">
        <v>408</v>
      </c>
      <c r="H23" s="293" t="s">
        <v>408</v>
      </c>
      <c r="I23" s="293" t="s">
        <v>408</v>
      </c>
      <c r="J23" s="293" t="s">
        <v>408</v>
      </c>
      <c r="K23" s="293" t="s">
        <v>408</v>
      </c>
    </row>
    <row r="24" spans="1:11" ht="13.5" customHeight="1">
      <c r="A24" s="450"/>
      <c r="B24" s="457"/>
      <c r="C24" s="273" t="s">
        <v>704</v>
      </c>
      <c r="D24" s="293">
        <f t="shared" si="0"/>
        <v>2.17</v>
      </c>
      <c r="E24" s="293" t="s">
        <v>408</v>
      </c>
      <c r="F24" s="293">
        <v>2.17</v>
      </c>
      <c r="G24" s="293" t="s">
        <v>408</v>
      </c>
      <c r="H24" s="293" t="s">
        <v>408</v>
      </c>
      <c r="I24" s="293" t="s">
        <v>408</v>
      </c>
      <c r="J24" s="293" t="s">
        <v>408</v>
      </c>
      <c r="K24" s="293" t="s">
        <v>408</v>
      </c>
    </row>
    <row r="25" spans="1:11" ht="13.5" customHeight="1">
      <c r="A25" s="450" t="s">
        <v>711</v>
      </c>
      <c r="B25" s="457" t="s">
        <v>467</v>
      </c>
      <c r="C25" s="273" t="s">
        <v>627</v>
      </c>
      <c r="D25" s="298">
        <f t="shared" si="0"/>
        <v>1</v>
      </c>
      <c r="E25" s="293">
        <v>0</v>
      </c>
      <c r="F25" s="298">
        <v>1</v>
      </c>
      <c r="G25" s="293" t="s">
        <v>408</v>
      </c>
      <c r="H25" s="293" t="s">
        <v>408</v>
      </c>
      <c r="I25" s="293" t="s">
        <v>408</v>
      </c>
      <c r="J25" s="293" t="s">
        <v>408</v>
      </c>
      <c r="K25" s="293" t="s">
        <v>408</v>
      </c>
    </row>
    <row r="26" spans="1:11" ht="13.5" customHeight="1">
      <c r="A26" s="450"/>
      <c r="B26" s="457"/>
      <c r="C26" s="273" t="s">
        <v>704</v>
      </c>
      <c r="D26" s="293">
        <f t="shared" si="0"/>
        <v>1.09</v>
      </c>
      <c r="E26" s="293">
        <v>0</v>
      </c>
      <c r="F26" s="293">
        <v>1.09</v>
      </c>
      <c r="G26" s="293" t="s">
        <v>408</v>
      </c>
      <c r="H26" s="293" t="s">
        <v>408</v>
      </c>
      <c r="I26" s="293" t="s">
        <v>408</v>
      </c>
      <c r="J26" s="293" t="s">
        <v>408</v>
      </c>
      <c r="K26" s="293" t="s">
        <v>408</v>
      </c>
    </row>
    <row r="27" spans="1:11" ht="13.5" customHeight="1">
      <c r="A27" s="284">
        <v>2</v>
      </c>
      <c r="B27" s="264" t="s">
        <v>729</v>
      </c>
      <c r="C27" s="258" t="s">
        <v>704</v>
      </c>
      <c r="D27" s="294">
        <f>SUM(E27:J27)</f>
        <v>281.054</v>
      </c>
      <c r="E27" s="294">
        <f>E37+E44+E51+E58+E65+E72+E79+E86+E93+E100</f>
        <v>8.034</v>
      </c>
      <c r="F27" s="294">
        <f aca="true" t="shared" si="1" ref="F27:K28">F37+F44+F51+F58+F65+F72+F79+F86+F93+F100</f>
        <v>83.63999999999999</v>
      </c>
      <c r="G27" s="294">
        <f t="shared" si="1"/>
        <v>69.91999999999999</v>
      </c>
      <c r="H27" s="294">
        <f>H37+H44+H51+H58+H65+H72+H79+H86+H93+H100</f>
        <v>71.64</v>
      </c>
      <c r="I27" s="294">
        <f t="shared" si="1"/>
        <v>40.47</v>
      </c>
      <c r="J27" s="294">
        <f t="shared" si="1"/>
        <v>7.35</v>
      </c>
      <c r="K27" s="294">
        <f t="shared" si="1"/>
        <v>0</v>
      </c>
    </row>
    <row r="28" spans="1:11" ht="13.5" customHeight="1">
      <c r="A28" s="472"/>
      <c r="B28" s="471" t="s">
        <v>730</v>
      </c>
      <c r="C28" s="278" t="s">
        <v>419</v>
      </c>
      <c r="D28" s="294">
        <f aca="true" t="shared" si="2" ref="D28:D91">SUM(E28:J28)</f>
        <v>25</v>
      </c>
      <c r="E28" s="294">
        <f>E38+E45+E52+E59+E66+E73+E80+E87+E94+E101</f>
        <v>2</v>
      </c>
      <c r="F28" s="294">
        <f t="shared" si="1"/>
        <v>6</v>
      </c>
      <c r="G28" s="294">
        <f t="shared" si="1"/>
        <v>7</v>
      </c>
      <c r="H28" s="294">
        <f t="shared" si="1"/>
        <v>6</v>
      </c>
      <c r="I28" s="294">
        <f t="shared" si="1"/>
        <v>3</v>
      </c>
      <c r="J28" s="294">
        <f t="shared" si="1"/>
        <v>1</v>
      </c>
      <c r="K28" s="294">
        <f t="shared" si="1"/>
        <v>0</v>
      </c>
    </row>
    <row r="29" spans="1:11" ht="13.5" customHeight="1">
      <c r="A29" s="472"/>
      <c r="B29" s="471"/>
      <c r="C29" s="278" t="s">
        <v>731</v>
      </c>
      <c r="D29" s="294">
        <f t="shared" si="2"/>
        <v>72</v>
      </c>
      <c r="E29" s="294">
        <f>E39+E46+E53+E60+E67+E74+E81+E88+E95+E102</f>
        <v>6</v>
      </c>
      <c r="F29" s="294">
        <f aca="true" t="shared" si="3" ref="F29:K29">F39+F46+F53+F60+F67+F74+F81+F88+F95+F102</f>
        <v>18</v>
      </c>
      <c r="G29" s="294">
        <f t="shared" si="3"/>
        <v>21</v>
      </c>
      <c r="H29" s="294">
        <f t="shared" si="3"/>
        <v>18</v>
      </c>
      <c r="I29" s="294">
        <f t="shared" si="3"/>
        <v>9</v>
      </c>
      <c r="J29" s="294">
        <f t="shared" si="3"/>
        <v>0</v>
      </c>
      <c r="K29" s="294">
        <f t="shared" si="3"/>
        <v>0</v>
      </c>
    </row>
    <row r="30" spans="1:11" ht="13.5" customHeight="1">
      <c r="A30" s="472"/>
      <c r="B30" s="471" t="s">
        <v>732</v>
      </c>
      <c r="C30" s="278" t="s">
        <v>627</v>
      </c>
      <c r="D30" s="294">
        <f t="shared" si="2"/>
        <v>0</v>
      </c>
      <c r="E30" s="294" t="s">
        <v>3</v>
      </c>
      <c r="F30" s="294" t="s">
        <v>3</v>
      </c>
      <c r="G30" s="294" t="s">
        <v>3</v>
      </c>
      <c r="H30" s="294" t="s">
        <v>3</v>
      </c>
      <c r="I30" s="294" t="s">
        <v>3</v>
      </c>
      <c r="J30" s="294" t="s">
        <v>3</v>
      </c>
      <c r="K30" s="294" t="s">
        <v>3</v>
      </c>
    </row>
    <row r="31" spans="1:11" ht="13.5" customHeight="1">
      <c r="A31" s="472"/>
      <c r="B31" s="471"/>
      <c r="C31" s="278" t="s">
        <v>731</v>
      </c>
      <c r="D31" s="294">
        <f t="shared" si="2"/>
        <v>0</v>
      </c>
      <c r="E31" s="294" t="s">
        <v>3</v>
      </c>
      <c r="F31" s="294" t="s">
        <v>3</v>
      </c>
      <c r="G31" s="294" t="s">
        <v>3</v>
      </c>
      <c r="H31" s="294" t="s">
        <v>3</v>
      </c>
      <c r="I31" s="294" t="s">
        <v>3</v>
      </c>
      <c r="J31" s="294" t="s">
        <v>3</v>
      </c>
      <c r="K31" s="294" t="s">
        <v>3</v>
      </c>
    </row>
    <row r="32" spans="1:11" ht="13.5" customHeight="1">
      <c r="A32" s="472"/>
      <c r="B32" s="471" t="s">
        <v>733</v>
      </c>
      <c r="C32" s="278" t="s">
        <v>419</v>
      </c>
      <c r="D32" s="294">
        <f t="shared" si="2"/>
        <v>25</v>
      </c>
      <c r="E32" s="304">
        <f>E40+E47+E54+E61+E68+E75+E82+E89+E96+E103</f>
        <v>2</v>
      </c>
      <c r="F32" s="304">
        <f aca="true" t="shared" si="4" ref="F32:K33">F40+F47+F54+F61+F68+F75+F82+F89+F96+F103</f>
        <v>6</v>
      </c>
      <c r="G32" s="304">
        <f t="shared" si="4"/>
        <v>7</v>
      </c>
      <c r="H32" s="304">
        <f t="shared" si="4"/>
        <v>6</v>
      </c>
      <c r="I32" s="304">
        <f t="shared" si="4"/>
        <v>3</v>
      </c>
      <c r="J32" s="304">
        <f t="shared" si="4"/>
        <v>1</v>
      </c>
      <c r="K32" s="304">
        <f t="shared" si="4"/>
        <v>0</v>
      </c>
    </row>
    <row r="33" spans="1:11" ht="13.5" customHeight="1">
      <c r="A33" s="472"/>
      <c r="B33" s="471"/>
      <c r="C33" s="278" t="s">
        <v>731</v>
      </c>
      <c r="D33" s="294">
        <f t="shared" si="2"/>
        <v>24</v>
      </c>
      <c r="E33" s="304">
        <f>E41+E48+E55+E62+E69+E76+E83+E90+E97+E104</f>
        <v>2</v>
      </c>
      <c r="F33" s="304">
        <f t="shared" si="4"/>
        <v>6</v>
      </c>
      <c r="G33" s="304">
        <f t="shared" si="4"/>
        <v>7</v>
      </c>
      <c r="H33" s="304">
        <f t="shared" si="4"/>
        <v>6</v>
      </c>
      <c r="I33" s="304">
        <f t="shared" si="4"/>
        <v>3</v>
      </c>
      <c r="J33" s="304">
        <f t="shared" si="4"/>
        <v>0</v>
      </c>
      <c r="K33" s="304">
        <f t="shared" si="4"/>
        <v>0</v>
      </c>
    </row>
    <row r="34" spans="1:11" ht="13.5" customHeight="1">
      <c r="A34" s="472"/>
      <c r="B34" s="471" t="s">
        <v>734</v>
      </c>
      <c r="C34" s="278" t="s">
        <v>627</v>
      </c>
      <c r="D34" s="294">
        <f t="shared" si="2"/>
        <v>74.02</v>
      </c>
      <c r="E34" s="305">
        <f>E42+E49+E56+E63+E70+E77+E84+E91+E98+E105</f>
        <v>0.02</v>
      </c>
      <c r="F34" s="304">
        <f aca="true" t="shared" si="5" ref="F34:K35">F42+F49+F56+F63+F70+F77+F84+F91+F98+F105</f>
        <v>25</v>
      </c>
      <c r="G34" s="304">
        <f t="shared" si="5"/>
        <v>19</v>
      </c>
      <c r="H34" s="304">
        <f t="shared" si="5"/>
        <v>18.5</v>
      </c>
      <c r="I34" s="304">
        <f t="shared" si="5"/>
        <v>10</v>
      </c>
      <c r="J34" s="304">
        <f t="shared" si="5"/>
        <v>1.5</v>
      </c>
      <c r="K34" s="304">
        <f t="shared" si="5"/>
        <v>0</v>
      </c>
    </row>
    <row r="35" spans="1:11" ht="13.5" customHeight="1">
      <c r="A35" s="472"/>
      <c r="B35" s="471"/>
      <c r="C35" s="278" t="s">
        <v>731</v>
      </c>
      <c r="D35" s="294">
        <f t="shared" si="2"/>
        <v>177.70399999999998</v>
      </c>
      <c r="E35" s="304">
        <f>E43+E50+E57+E64+E71+E78+E85+E92+E99+E106</f>
        <v>0.034</v>
      </c>
      <c r="F35" s="304">
        <f t="shared" si="5"/>
        <v>59.63999999999999</v>
      </c>
      <c r="G35" s="304">
        <f t="shared" si="5"/>
        <v>41.92</v>
      </c>
      <c r="H35" s="304">
        <f t="shared" si="5"/>
        <v>47.64</v>
      </c>
      <c r="I35" s="304">
        <f t="shared" si="5"/>
        <v>28.47</v>
      </c>
      <c r="J35" s="304">
        <f t="shared" si="5"/>
        <v>0</v>
      </c>
      <c r="K35" s="304">
        <f t="shared" si="5"/>
        <v>0</v>
      </c>
    </row>
    <row r="36" spans="1:11" ht="13.5" customHeight="1">
      <c r="A36" s="280" t="s">
        <v>645</v>
      </c>
      <c r="B36" s="264" t="s">
        <v>735</v>
      </c>
      <c r="C36" s="258"/>
      <c r="D36" s="293" t="s">
        <v>3</v>
      </c>
      <c r="E36" s="293"/>
      <c r="F36" s="293"/>
      <c r="G36" s="293"/>
      <c r="H36" s="293"/>
      <c r="I36" s="293"/>
      <c r="J36" s="293"/>
      <c r="K36" s="293"/>
    </row>
    <row r="37" spans="1:11" ht="13.5" customHeight="1">
      <c r="A37" s="280" t="s">
        <v>646</v>
      </c>
      <c r="B37" s="264" t="s">
        <v>457</v>
      </c>
      <c r="C37" s="258" t="s">
        <v>481</v>
      </c>
      <c r="D37" s="294">
        <f t="shared" si="2"/>
        <v>40.47</v>
      </c>
      <c r="E37" s="294">
        <v>0</v>
      </c>
      <c r="F37" s="294">
        <v>0</v>
      </c>
      <c r="G37" s="294">
        <v>0</v>
      </c>
      <c r="H37" s="294">
        <v>12.14</v>
      </c>
      <c r="I37" s="294">
        <v>28.33</v>
      </c>
      <c r="J37" s="294">
        <v>0</v>
      </c>
      <c r="K37" s="294">
        <v>0</v>
      </c>
    </row>
    <row r="38" spans="1:11" ht="13.5" customHeight="1">
      <c r="A38" s="470"/>
      <c r="B38" s="471" t="s">
        <v>736</v>
      </c>
      <c r="C38" s="278" t="s">
        <v>419</v>
      </c>
      <c r="D38" s="293">
        <f t="shared" si="2"/>
        <v>3</v>
      </c>
      <c r="E38" s="293"/>
      <c r="F38" s="293"/>
      <c r="G38" s="293"/>
      <c r="H38" s="293">
        <v>1</v>
      </c>
      <c r="I38" s="293">
        <v>2</v>
      </c>
      <c r="J38" s="293"/>
      <c r="K38" s="293"/>
    </row>
    <row r="39" spans="1:11" ht="13.5" customHeight="1">
      <c r="A39" s="470"/>
      <c r="B39" s="471"/>
      <c r="C39" s="278" t="s">
        <v>731</v>
      </c>
      <c r="D39" s="293">
        <f t="shared" si="2"/>
        <v>9</v>
      </c>
      <c r="E39" s="293"/>
      <c r="F39" s="293"/>
      <c r="G39" s="293"/>
      <c r="H39" s="293">
        <v>3</v>
      </c>
      <c r="I39" s="293">
        <v>6</v>
      </c>
      <c r="J39" s="293"/>
      <c r="K39" s="293"/>
    </row>
    <row r="40" spans="1:11" ht="13.5" customHeight="1">
      <c r="A40" s="470"/>
      <c r="B40" s="471" t="s">
        <v>737</v>
      </c>
      <c r="C40" s="278" t="s">
        <v>419</v>
      </c>
      <c r="D40" s="293">
        <f t="shared" si="2"/>
        <v>3</v>
      </c>
      <c r="E40" s="293"/>
      <c r="F40" s="293"/>
      <c r="G40" s="293"/>
      <c r="H40" s="293">
        <v>1</v>
      </c>
      <c r="I40" s="293">
        <v>2</v>
      </c>
      <c r="J40" s="293"/>
      <c r="K40" s="293"/>
    </row>
    <row r="41" spans="1:11" ht="13.5" customHeight="1">
      <c r="A41" s="470"/>
      <c r="B41" s="471"/>
      <c r="C41" s="278" t="s">
        <v>731</v>
      </c>
      <c r="D41" s="293">
        <f t="shared" si="2"/>
        <v>3</v>
      </c>
      <c r="E41" s="293"/>
      <c r="F41" s="293"/>
      <c r="G41" s="293"/>
      <c r="H41" s="293">
        <v>1</v>
      </c>
      <c r="I41" s="293">
        <v>2</v>
      </c>
      <c r="J41" s="293"/>
      <c r="K41" s="293"/>
    </row>
    <row r="42" spans="1:11" ht="13.5" customHeight="1">
      <c r="A42" s="470"/>
      <c r="B42" s="471" t="s">
        <v>734</v>
      </c>
      <c r="C42" s="278" t="s">
        <v>627</v>
      </c>
      <c r="D42" s="293">
        <f t="shared" si="2"/>
        <v>10</v>
      </c>
      <c r="E42" s="293">
        <v>0</v>
      </c>
      <c r="F42" s="293">
        <v>0</v>
      </c>
      <c r="G42" s="293">
        <v>0</v>
      </c>
      <c r="H42" s="293">
        <v>3</v>
      </c>
      <c r="I42" s="293">
        <v>7</v>
      </c>
      <c r="J42" s="293">
        <v>0</v>
      </c>
      <c r="K42" s="293">
        <v>0</v>
      </c>
    </row>
    <row r="43" spans="1:11" ht="13.5" customHeight="1">
      <c r="A43" s="470"/>
      <c r="B43" s="471"/>
      <c r="C43" s="278" t="s">
        <v>731</v>
      </c>
      <c r="D43" s="293">
        <f t="shared" si="2"/>
        <v>28.47</v>
      </c>
      <c r="E43" s="293"/>
      <c r="F43" s="293"/>
      <c r="G43" s="293"/>
      <c r="H43" s="293">
        <v>8.14</v>
      </c>
      <c r="I43" s="293">
        <v>20.33</v>
      </c>
      <c r="J43" s="293"/>
      <c r="K43" s="293"/>
    </row>
    <row r="44" spans="1:11" ht="13.5" customHeight="1">
      <c r="A44" s="280" t="s">
        <v>647</v>
      </c>
      <c r="B44" s="264" t="s">
        <v>459</v>
      </c>
      <c r="C44" s="258" t="s">
        <v>481</v>
      </c>
      <c r="D44" s="294">
        <f t="shared" si="2"/>
        <v>10.04</v>
      </c>
      <c r="E44" s="294">
        <v>0</v>
      </c>
      <c r="F44" s="294">
        <v>10.04</v>
      </c>
      <c r="G44" s="294">
        <v>0</v>
      </c>
      <c r="H44" s="294">
        <v>0</v>
      </c>
      <c r="I44" s="294">
        <v>0</v>
      </c>
      <c r="J44" s="294">
        <v>0</v>
      </c>
      <c r="K44" s="294">
        <v>0</v>
      </c>
    </row>
    <row r="45" spans="1:11" ht="13.5" customHeight="1">
      <c r="A45" s="450"/>
      <c r="B45" s="471" t="s">
        <v>736</v>
      </c>
      <c r="C45" s="278" t="s">
        <v>419</v>
      </c>
      <c r="D45" s="293">
        <f t="shared" si="2"/>
        <v>1</v>
      </c>
      <c r="E45" s="293"/>
      <c r="F45" s="293">
        <v>1</v>
      </c>
      <c r="G45" s="293"/>
      <c r="H45" s="293"/>
      <c r="I45" s="293"/>
      <c r="J45" s="293"/>
      <c r="K45" s="293"/>
    </row>
    <row r="46" spans="1:11" ht="13.5" customHeight="1">
      <c r="A46" s="450"/>
      <c r="B46" s="471"/>
      <c r="C46" s="278" t="s">
        <v>731</v>
      </c>
      <c r="D46" s="293">
        <f t="shared" si="2"/>
        <v>3</v>
      </c>
      <c r="E46" s="293"/>
      <c r="F46" s="293">
        <v>3</v>
      </c>
      <c r="G46" s="293"/>
      <c r="H46" s="293"/>
      <c r="I46" s="293"/>
      <c r="J46" s="293"/>
      <c r="K46" s="293"/>
    </row>
    <row r="47" spans="1:11" ht="13.5" customHeight="1">
      <c r="A47" s="470"/>
      <c r="B47" s="471" t="s">
        <v>737</v>
      </c>
      <c r="C47" s="278" t="s">
        <v>419</v>
      </c>
      <c r="D47" s="293">
        <f t="shared" si="2"/>
        <v>1</v>
      </c>
      <c r="E47" s="293"/>
      <c r="F47" s="293">
        <v>1</v>
      </c>
      <c r="G47" s="293"/>
      <c r="H47" s="293"/>
      <c r="I47" s="293"/>
      <c r="J47" s="293"/>
      <c r="K47" s="293"/>
    </row>
    <row r="48" spans="1:11" ht="13.5" customHeight="1">
      <c r="A48" s="470"/>
      <c r="B48" s="471"/>
      <c r="C48" s="278" t="s">
        <v>731</v>
      </c>
      <c r="D48" s="293">
        <f t="shared" si="2"/>
        <v>1</v>
      </c>
      <c r="E48" s="293"/>
      <c r="F48" s="293">
        <v>1</v>
      </c>
      <c r="G48" s="293"/>
      <c r="H48" s="293"/>
      <c r="I48" s="293"/>
      <c r="J48" s="293"/>
      <c r="K48" s="293"/>
    </row>
    <row r="49" spans="1:11" ht="13.5" customHeight="1">
      <c r="A49" s="470"/>
      <c r="B49" s="471" t="s">
        <v>734</v>
      </c>
      <c r="C49" s="278" t="s">
        <v>627</v>
      </c>
      <c r="D49" s="293">
        <f t="shared" si="2"/>
        <v>3</v>
      </c>
      <c r="E49" s="293">
        <v>0</v>
      </c>
      <c r="F49" s="293">
        <v>3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</row>
    <row r="50" spans="1:11" ht="13.5" customHeight="1">
      <c r="A50" s="470"/>
      <c r="B50" s="471"/>
      <c r="C50" s="278" t="s">
        <v>731</v>
      </c>
      <c r="D50" s="293">
        <f t="shared" si="2"/>
        <v>6.04</v>
      </c>
      <c r="E50" s="293"/>
      <c r="F50" s="293">
        <v>6.04</v>
      </c>
      <c r="G50" s="293"/>
      <c r="H50" s="293"/>
      <c r="I50" s="293"/>
      <c r="J50" s="293"/>
      <c r="K50" s="293"/>
    </row>
    <row r="51" spans="1:11" ht="13.5" customHeight="1">
      <c r="A51" s="280" t="s">
        <v>648</v>
      </c>
      <c r="B51" s="264" t="s">
        <v>460</v>
      </c>
      <c r="C51" s="258" t="s">
        <v>481</v>
      </c>
      <c r="D51" s="294">
        <f t="shared" si="2"/>
        <v>20.24</v>
      </c>
      <c r="E51" s="294">
        <v>0</v>
      </c>
      <c r="F51" s="294">
        <v>0</v>
      </c>
      <c r="G51" s="294">
        <v>20.24</v>
      </c>
      <c r="H51" s="294">
        <v>0</v>
      </c>
      <c r="I51" s="294">
        <v>0</v>
      </c>
      <c r="J51" s="294">
        <v>0</v>
      </c>
      <c r="K51" s="294">
        <v>0</v>
      </c>
    </row>
    <row r="52" spans="1:11" ht="13.5" customHeight="1">
      <c r="A52" s="470"/>
      <c r="B52" s="471" t="s">
        <v>736</v>
      </c>
      <c r="C52" s="278" t="s">
        <v>419</v>
      </c>
      <c r="D52" s="293">
        <f t="shared" si="2"/>
        <v>2</v>
      </c>
      <c r="E52" s="293"/>
      <c r="F52" s="293"/>
      <c r="G52" s="293">
        <v>2</v>
      </c>
      <c r="H52" s="293"/>
      <c r="I52" s="293"/>
      <c r="J52" s="293"/>
      <c r="K52" s="293"/>
    </row>
    <row r="53" spans="1:11" ht="13.5" customHeight="1">
      <c r="A53" s="470"/>
      <c r="B53" s="471"/>
      <c r="C53" s="278" t="s">
        <v>731</v>
      </c>
      <c r="D53" s="293">
        <f t="shared" si="2"/>
        <v>6</v>
      </c>
      <c r="E53" s="293"/>
      <c r="F53" s="293"/>
      <c r="G53" s="293">
        <v>6</v>
      </c>
      <c r="H53" s="293"/>
      <c r="I53" s="293"/>
      <c r="J53" s="293"/>
      <c r="K53" s="293"/>
    </row>
    <row r="54" spans="1:11" ht="13.5" customHeight="1">
      <c r="A54" s="470"/>
      <c r="B54" s="471" t="s">
        <v>737</v>
      </c>
      <c r="C54" s="278" t="s">
        <v>419</v>
      </c>
      <c r="D54" s="293">
        <f t="shared" si="2"/>
        <v>2</v>
      </c>
      <c r="E54" s="293"/>
      <c r="F54" s="293"/>
      <c r="G54" s="293">
        <v>2</v>
      </c>
      <c r="H54" s="293"/>
      <c r="I54" s="293"/>
      <c r="J54" s="293"/>
      <c r="K54" s="293"/>
    </row>
    <row r="55" spans="1:11" ht="13.5" customHeight="1">
      <c r="A55" s="470"/>
      <c r="B55" s="471"/>
      <c r="C55" s="278" t="s">
        <v>731</v>
      </c>
      <c r="D55" s="293">
        <f t="shared" si="2"/>
        <v>2</v>
      </c>
      <c r="E55" s="293"/>
      <c r="F55" s="293"/>
      <c r="G55" s="293">
        <v>2</v>
      </c>
      <c r="H55" s="293"/>
      <c r="I55" s="293"/>
      <c r="J55" s="293"/>
      <c r="K55" s="293"/>
    </row>
    <row r="56" spans="1:11" ht="13.5" customHeight="1">
      <c r="A56" s="470"/>
      <c r="B56" s="471" t="s">
        <v>734</v>
      </c>
      <c r="C56" s="278" t="s">
        <v>627</v>
      </c>
      <c r="D56" s="293">
        <f t="shared" si="2"/>
        <v>5.5</v>
      </c>
      <c r="E56" s="293">
        <v>0</v>
      </c>
      <c r="F56" s="293">
        <v>0</v>
      </c>
      <c r="G56" s="293">
        <v>5.5</v>
      </c>
      <c r="H56" s="293">
        <v>0</v>
      </c>
      <c r="I56" s="293">
        <v>0</v>
      </c>
      <c r="J56" s="293">
        <v>0</v>
      </c>
      <c r="K56" s="293">
        <v>0</v>
      </c>
    </row>
    <row r="57" spans="1:11" ht="13.5" customHeight="1">
      <c r="A57" s="470"/>
      <c r="B57" s="471"/>
      <c r="C57" s="278" t="s">
        <v>731</v>
      </c>
      <c r="D57" s="293">
        <f t="shared" si="2"/>
        <v>12.24</v>
      </c>
      <c r="E57" s="293"/>
      <c r="F57" s="293"/>
      <c r="G57" s="293">
        <v>12.24</v>
      </c>
      <c r="H57" s="293"/>
      <c r="I57" s="293"/>
      <c r="J57" s="293"/>
      <c r="K57" s="293"/>
    </row>
    <row r="58" spans="1:11" ht="13.5" customHeight="1">
      <c r="A58" s="280" t="s">
        <v>778</v>
      </c>
      <c r="B58" s="264" t="s">
        <v>461</v>
      </c>
      <c r="C58" s="258" t="s">
        <v>481</v>
      </c>
      <c r="D58" s="294">
        <f t="shared" si="2"/>
        <v>10.04</v>
      </c>
      <c r="E58" s="294">
        <v>0</v>
      </c>
      <c r="F58" s="294">
        <v>10.04</v>
      </c>
      <c r="G58" s="294">
        <v>0</v>
      </c>
      <c r="H58" s="294">
        <v>0</v>
      </c>
      <c r="I58" s="294">
        <v>0</v>
      </c>
      <c r="J58" s="294">
        <v>0</v>
      </c>
      <c r="K58" s="294">
        <v>0</v>
      </c>
    </row>
    <row r="59" spans="1:11" ht="13.5" customHeight="1">
      <c r="A59" s="470"/>
      <c r="B59" s="471" t="s">
        <v>736</v>
      </c>
      <c r="C59" s="278" t="s">
        <v>419</v>
      </c>
      <c r="D59" s="293">
        <f t="shared" si="2"/>
        <v>1</v>
      </c>
      <c r="E59" s="293"/>
      <c r="F59" s="293">
        <v>1</v>
      </c>
      <c r="G59" s="293"/>
      <c r="H59" s="293"/>
      <c r="I59" s="293"/>
      <c r="J59" s="293"/>
      <c r="K59" s="293"/>
    </row>
    <row r="60" spans="1:11" ht="13.5" customHeight="1">
      <c r="A60" s="470"/>
      <c r="B60" s="471"/>
      <c r="C60" s="278" t="s">
        <v>731</v>
      </c>
      <c r="D60" s="293">
        <f t="shared" si="2"/>
        <v>3</v>
      </c>
      <c r="E60" s="293"/>
      <c r="F60" s="293">
        <v>3</v>
      </c>
      <c r="G60" s="293"/>
      <c r="H60" s="293"/>
      <c r="I60" s="293"/>
      <c r="J60" s="293"/>
      <c r="K60" s="293"/>
    </row>
    <row r="61" spans="1:11" ht="13.5" customHeight="1">
      <c r="A61" s="470"/>
      <c r="B61" s="471" t="s">
        <v>737</v>
      </c>
      <c r="C61" s="278" t="s">
        <v>419</v>
      </c>
      <c r="D61" s="293">
        <f t="shared" si="2"/>
        <v>1</v>
      </c>
      <c r="E61" s="293"/>
      <c r="F61" s="293">
        <v>1</v>
      </c>
      <c r="G61" s="293"/>
      <c r="H61" s="293"/>
      <c r="I61" s="293"/>
      <c r="J61" s="293"/>
      <c r="K61" s="293"/>
    </row>
    <row r="62" spans="1:11" ht="13.5" customHeight="1">
      <c r="A62" s="470"/>
      <c r="B62" s="471"/>
      <c r="C62" s="278" t="s">
        <v>731</v>
      </c>
      <c r="D62" s="293">
        <f t="shared" si="2"/>
        <v>1</v>
      </c>
      <c r="E62" s="293"/>
      <c r="F62" s="293">
        <v>1</v>
      </c>
      <c r="G62" s="293"/>
      <c r="H62" s="293"/>
      <c r="I62" s="293"/>
      <c r="J62" s="293"/>
      <c r="K62" s="293"/>
    </row>
    <row r="63" spans="1:11" ht="13.5" customHeight="1">
      <c r="A63" s="470"/>
      <c r="B63" s="471" t="s">
        <v>734</v>
      </c>
      <c r="C63" s="278" t="s">
        <v>627</v>
      </c>
      <c r="D63" s="298">
        <f t="shared" si="2"/>
        <v>3</v>
      </c>
      <c r="E63" s="293">
        <v>0</v>
      </c>
      <c r="F63" s="298">
        <v>3</v>
      </c>
      <c r="G63" s="293">
        <v>0</v>
      </c>
      <c r="H63" s="293">
        <v>0</v>
      </c>
      <c r="I63" s="293">
        <v>0</v>
      </c>
      <c r="J63" s="293">
        <v>0</v>
      </c>
      <c r="K63" s="293">
        <v>0</v>
      </c>
    </row>
    <row r="64" spans="1:11" ht="13.5" customHeight="1">
      <c r="A64" s="470"/>
      <c r="B64" s="471"/>
      <c r="C64" s="278" t="s">
        <v>731</v>
      </c>
      <c r="D64" s="293">
        <f t="shared" si="2"/>
        <v>6.04</v>
      </c>
      <c r="E64" s="293"/>
      <c r="F64" s="293">
        <v>6.04</v>
      </c>
      <c r="G64" s="293"/>
      <c r="H64" s="293"/>
      <c r="I64" s="293"/>
      <c r="J64" s="293"/>
      <c r="K64" s="293"/>
    </row>
    <row r="65" spans="1:11" ht="13.5" customHeight="1">
      <c r="A65" s="280" t="s">
        <v>779</v>
      </c>
      <c r="B65" s="264" t="s">
        <v>462</v>
      </c>
      <c r="C65" s="258" t="s">
        <v>481</v>
      </c>
      <c r="D65" s="294">
        <f t="shared" si="2"/>
        <v>46.83</v>
      </c>
      <c r="E65" s="294">
        <v>0</v>
      </c>
      <c r="F65" s="294">
        <v>46.83</v>
      </c>
      <c r="G65" s="294">
        <v>0</v>
      </c>
      <c r="H65" s="294">
        <v>0</v>
      </c>
      <c r="I65" s="294">
        <v>0</v>
      </c>
      <c r="J65" s="294">
        <v>0</v>
      </c>
      <c r="K65" s="294">
        <v>0</v>
      </c>
    </row>
    <row r="66" spans="1:11" ht="13.5">
      <c r="A66" s="291"/>
      <c r="B66" s="471" t="s">
        <v>736</v>
      </c>
      <c r="C66" s="278" t="s">
        <v>419</v>
      </c>
      <c r="D66" s="293">
        <f t="shared" si="2"/>
        <v>2</v>
      </c>
      <c r="E66" s="293"/>
      <c r="F66" s="293">
        <v>2</v>
      </c>
      <c r="G66" s="293"/>
      <c r="H66" s="293"/>
      <c r="I66" s="293"/>
      <c r="J66" s="293"/>
      <c r="K66" s="293"/>
    </row>
    <row r="67" spans="1:11" ht="13.5">
      <c r="A67" s="291"/>
      <c r="B67" s="471"/>
      <c r="C67" s="278" t="s">
        <v>731</v>
      </c>
      <c r="D67" s="293">
        <f t="shared" si="2"/>
        <v>6</v>
      </c>
      <c r="E67" s="293"/>
      <c r="F67" s="293">
        <v>6</v>
      </c>
      <c r="G67" s="293"/>
      <c r="H67" s="293"/>
      <c r="I67" s="293"/>
      <c r="J67" s="293"/>
      <c r="K67" s="293"/>
    </row>
    <row r="68" spans="1:11" ht="13.5">
      <c r="A68" s="291"/>
      <c r="B68" s="471" t="s">
        <v>737</v>
      </c>
      <c r="C68" s="278" t="s">
        <v>419</v>
      </c>
      <c r="D68" s="293">
        <f t="shared" si="2"/>
        <v>2</v>
      </c>
      <c r="E68" s="293"/>
      <c r="F68" s="293">
        <v>2</v>
      </c>
      <c r="G68" s="293"/>
      <c r="H68" s="293"/>
      <c r="I68" s="293"/>
      <c r="J68" s="293"/>
      <c r="K68" s="293"/>
    </row>
    <row r="69" spans="1:11" ht="13.5">
      <c r="A69" s="291"/>
      <c r="B69" s="471"/>
      <c r="C69" s="278" t="s">
        <v>731</v>
      </c>
      <c r="D69" s="293">
        <f t="shared" si="2"/>
        <v>2</v>
      </c>
      <c r="E69" s="293"/>
      <c r="F69" s="293">
        <v>2</v>
      </c>
      <c r="G69" s="293"/>
      <c r="H69" s="293"/>
      <c r="I69" s="293"/>
      <c r="J69" s="293"/>
      <c r="K69" s="293"/>
    </row>
    <row r="70" spans="1:11" ht="13.5">
      <c r="A70" s="291"/>
      <c r="B70" s="471" t="s">
        <v>734</v>
      </c>
      <c r="C70" s="278" t="s">
        <v>627</v>
      </c>
      <c r="D70" s="298">
        <f t="shared" si="2"/>
        <v>14</v>
      </c>
      <c r="E70" s="293">
        <v>0</v>
      </c>
      <c r="F70" s="298">
        <v>14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</row>
    <row r="71" spans="1:11" ht="13.5">
      <c r="A71" s="291"/>
      <c r="B71" s="471"/>
      <c r="C71" s="278" t="s">
        <v>731</v>
      </c>
      <c r="D71" s="293">
        <f t="shared" si="2"/>
        <v>38.83</v>
      </c>
      <c r="E71" s="293"/>
      <c r="F71" s="293">
        <v>38.83</v>
      </c>
      <c r="G71" s="293"/>
      <c r="H71" s="293"/>
      <c r="I71" s="293"/>
      <c r="J71" s="293"/>
      <c r="K71" s="293"/>
    </row>
    <row r="72" spans="1:11" ht="13.5" customHeight="1">
      <c r="A72" s="280" t="s">
        <v>814</v>
      </c>
      <c r="B72" s="264" t="s">
        <v>463</v>
      </c>
      <c r="C72" s="258" t="s">
        <v>481</v>
      </c>
      <c r="D72" s="294">
        <f t="shared" si="2"/>
        <v>33.18</v>
      </c>
      <c r="E72" s="294">
        <v>0</v>
      </c>
      <c r="F72" s="294">
        <v>0</v>
      </c>
      <c r="G72" s="294">
        <v>0</v>
      </c>
      <c r="H72" s="294">
        <v>21.04</v>
      </c>
      <c r="I72" s="294">
        <v>12.14</v>
      </c>
      <c r="J72" s="294">
        <v>0</v>
      </c>
      <c r="K72" s="294">
        <v>0</v>
      </c>
    </row>
    <row r="73" spans="1:11" ht="13.5">
      <c r="A73" s="291"/>
      <c r="B73" s="471" t="s">
        <v>736</v>
      </c>
      <c r="C73" s="278" t="s">
        <v>419</v>
      </c>
      <c r="D73" s="293">
        <f t="shared" si="2"/>
        <v>3</v>
      </c>
      <c r="E73" s="293"/>
      <c r="F73" s="293"/>
      <c r="G73" s="293"/>
      <c r="H73" s="293">
        <v>2</v>
      </c>
      <c r="I73" s="293">
        <v>1</v>
      </c>
      <c r="J73" s="293"/>
      <c r="K73" s="293"/>
    </row>
    <row r="74" spans="1:11" ht="13.5">
      <c r="A74" s="291"/>
      <c r="B74" s="471"/>
      <c r="C74" s="278" t="s">
        <v>731</v>
      </c>
      <c r="D74" s="293">
        <f t="shared" si="2"/>
        <v>9</v>
      </c>
      <c r="E74" s="293"/>
      <c r="F74" s="293"/>
      <c r="G74" s="293"/>
      <c r="H74" s="293">
        <v>6</v>
      </c>
      <c r="I74" s="293">
        <v>3</v>
      </c>
      <c r="J74" s="293"/>
      <c r="K74" s="293"/>
    </row>
    <row r="75" spans="1:11" ht="13.5">
      <c r="A75" s="291"/>
      <c r="B75" s="471" t="s">
        <v>737</v>
      </c>
      <c r="C75" s="278" t="s">
        <v>419</v>
      </c>
      <c r="D75" s="293">
        <f t="shared" si="2"/>
        <v>3</v>
      </c>
      <c r="E75" s="293"/>
      <c r="F75" s="293"/>
      <c r="G75" s="293"/>
      <c r="H75" s="293">
        <v>2</v>
      </c>
      <c r="I75" s="293">
        <v>1</v>
      </c>
      <c r="J75" s="293"/>
      <c r="K75" s="293"/>
    </row>
    <row r="76" spans="1:11" ht="13.5">
      <c r="A76" s="291"/>
      <c r="B76" s="471"/>
      <c r="C76" s="278" t="s">
        <v>731</v>
      </c>
      <c r="D76" s="293">
        <f t="shared" si="2"/>
        <v>3</v>
      </c>
      <c r="E76" s="293"/>
      <c r="F76" s="293"/>
      <c r="G76" s="293"/>
      <c r="H76" s="293">
        <v>2</v>
      </c>
      <c r="I76" s="293">
        <v>1</v>
      </c>
      <c r="J76" s="293"/>
      <c r="K76" s="293"/>
    </row>
    <row r="77" spans="1:11" ht="13.5">
      <c r="A77" s="291"/>
      <c r="B77" s="471" t="s">
        <v>734</v>
      </c>
      <c r="C77" s="278" t="s">
        <v>627</v>
      </c>
      <c r="D77" s="298">
        <f t="shared" si="2"/>
        <v>8</v>
      </c>
      <c r="E77" s="293">
        <v>0</v>
      </c>
      <c r="F77" s="293">
        <v>0</v>
      </c>
      <c r="G77" s="293">
        <v>0</v>
      </c>
      <c r="H77" s="298">
        <v>5</v>
      </c>
      <c r="I77" s="298">
        <v>3</v>
      </c>
      <c r="J77" s="293">
        <v>0</v>
      </c>
      <c r="K77" s="293">
        <v>0</v>
      </c>
    </row>
    <row r="78" spans="1:11" ht="13.5">
      <c r="A78" s="291"/>
      <c r="B78" s="471"/>
      <c r="C78" s="278" t="s">
        <v>731</v>
      </c>
      <c r="D78" s="293">
        <f t="shared" si="2"/>
        <v>21.18</v>
      </c>
      <c r="E78" s="293"/>
      <c r="F78" s="293"/>
      <c r="G78" s="293"/>
      <c r="H78" s="293">
        <v>13.04</v>
      </c>
      <c r="I78" s="293">
        <v>8.14</v>
      </c>
      <c r="J78" s="293"/>
      <c r="K78" s="293"/>
    </row>
    <row r="79" spans="1:11" ht="13.5" customHeight="1">
      <c r="A79" s="280" t="s">
        <v>815</v>
      </c>
      <c r="B79" s="264" t="s">
        <v>464</v>
      </c>
      <c r="C79" s="258" t="s">
        <v>481</v>
      </c>
      <c r="D79" s="294">
        <f t="shared" si="2"/>
        <v>41.76</v>
      </c>
      <c r="E79" s="294">
        <v>0</v>
      </c>
      <c r="F79" s="294">
        <v>0</v>
      </c>
      <c r="G79" s="294">
        <v>20.24</v>
      </c>
      <c r="H79" s="294">
        <v>14.17</v>
      </c>
      <c r="I79" s="294">
        <v>0</v>
      </c>
      <c r="J79" s="294">
        <v>7.35</v>
      </c>
      <c r="K79" s="294">
        <v>0</v>
      </c>
    </row>
    <row r="80" spans="1:11" ht="13.5">
      <c r="A80" s="291"/>
      <c r="B80" s="471" t="s">
        <v>736</v>
      </c>
      <c r="C80" s="278" t="s">
        <v>419</v>
      </c>
      <c r="D80" s="293">
        <f t="shared" si="2"/>
        <v>4</v>
      </c>
      <c r="E80" s="293"/>
      <c r="F80" s="293"/>
      <c r="G80" s="293">
        <v>2</v>
      </c>
      <c r="H80" s="293">
        <v>1</v>
      </c>
      <c r="I80" s="293"/>
      <c r="J80" s="293">
        <v>1</v>
      </c>
      <c r="K80" s="293"/>
    </row>
    <row r="81" spans="1:11" ht="13.5">
      <c r="A81" s="291"/>
      <c r="B81" s="471"/>
      <c r="C81" s="278" t="s">
        <v>731</v>
      </c>
      <c r="D81" s="293">
        <f t="shared" si="2"/>
        <v>9</v>
      </c>
      <c r="E81" s="293"/>
      <c r="F81" s="293"/>
      <c r="G81" s="293">
        <v>6</v>
      </c>
      <c r="H81" s="293">
        <v>3</v>
      </c>
      <c r="I81" s="293"/>
      <c r="J81" s="293"/>
      <c r="K81" s="293"/>
    </row>
    <row r="82" spans="1:11" ht="13.5">
      <c r="A82" s="291"/>
      <c r="B82" s="471" t="s">
        <v>737</v>
      </c>
      <c r="C82" s="278" t="s">
        <v>419</v>
      </c>
      <c r="D82" s="293">
        <f t="shared" si="2"/>
        <v>4</v>
      </c>
      <c r="E82" s="293"/>
      <c r="F82" s="293"/>
      <c r="G82" s="293">
        <v>2</v>
      </c>
      <c r="H82" s="293">
        <v>1</v>
      </c>
      <c r="I82" s="293"/>
      <c r="J82" s="293">
        <v>1</v>
      </c>
      <c r="K82" s="293"/>
    </row>
    <row r="83" spans="1:11" ht="13.5">
      <c r="A83" s="291"/>
      <c r="B83" s="471"/>
      <c r="C83" s="278" t="s">
        <v>731</v>
      </c>
      <c r="D83" s="293">
        <f t="shared" si="2"/>
        <v>3</v>
      </c>
      <c r="E83" s="293"/>
      <c r="F83" s="293"/>
      <c r="G83" s="293">
        <v>2</v>
      </c>
      <c r="H83" s="293">
        <v>1</v>
      </c>
      <c r="I83" s="293"/>
      <c r="J83" s="293"/>
      <c r="K83" s="293"/>
    </row>
    <row r="84" spans="1:11" ht="13.5">
      <c r="A84" s="291"/>
      <c r="B84" s="471" t="s">
        <v>734</v>
      </c>
      <c r="C84" s="278" t="s">
        <v>627</v>
      </c>
      <c r="D84" s="293">
        <f t="shared" si="2"/>
        <v>10.5</v>
      </c>
      <c r="E84" s="293">
        <v>0</v>
      </c>
      <c r="F84" s="293">
        <v>0</v>
      </c>
      <c r="G84" s="293">
        <v>5.5</v>
      </c>
      <c r="H84" s="293">
        <v>3.5</v>
      </c>
      <c r="I84" s="293">
        <v>0</v>
      </c>
      <c r="J84" s="293">
        <v>1.5</v>
      </c>
      <c r="K84" s="293">
        <v>0</v>
      </c>
    </row>
    <row r="85" spans="1:11" ht="13.5">
      <c r="A85" s="291"/>
      <c r="B85" s="471"/>
      <c r="C85" s="278" t="s">
        <v>731</v>
      </c>
      <c r="D85" s="293">
        <f t="shared" si="2"/>
        <v>22.41</v>
      </c>
      <c r="E85" s="293"/>
      <c r="F85" s="293"/>
      <c r="G85" s="293">
        <v>12.24</v>
      </c>
      <c r="H85" s="293">
        <v>10.17</v>
      </c>
      <c r="I85" s="293"/>
      <c r="J85" s="293"/>
      <c r="K85" s="293"/>
    </row>
    <row r="86" spans="1:11" ht="13.5" customHeight="1">
      <c r="A86" s="280" t="s">
        <v>816</v>
      </c>
      <c r="B86" s="264" t="s">
        <v>465</v>
      </c>
      <c r="C86" s="258" t="s">
        <v>481</v>
      </c>
      <c r="D86" s="294">
        <f t="shared" si="2"/>
        <v>42.69</v>
      </c>
      <c r="E86" s="294">
        <v>0</v>
      </c>
      <c r="F86" s="294">
        <v>0</v>
      </c>
      <c r="G86" s="294">
        <v>18.4</v>
      </c>
      <c r="H86" s="294">
        <v>24.29</v>
      </c>
      <c r="I86" s="294">
        <v>0</v>
      </c>
      <c r="J86" s="294">
        <v>0</v>
      </c>
      <c r="K86" s="294">
        <v>0</v>
      </c>
    </row>
    <row r="87" spans="1:11" ht="13.5">
      <c r="A87" s="291"/>
      <c r="B87" s="471" t="s">
        <v>736</v>
      </c>
      <c r="C87" s="278" t="s">
        <v>419</v>
      </c>
      <c r="D87" s="293">
        <f t="shared" si="2"/>
        <v>4</v>
      </c>
      <c r="E87" s="293"/>
      <c r="F87" s="293"/>
      <c r="G87" s="293">
        <v>2</v>
      </c>
      <c r="H87" s="293">
        <v>2</v>
      </c>
      <c r="I87" s="293"/>
      <c r="J87" s="293"/>
      <c r="K87" s="293"/>
    </row>
    <row r="88" spans="1:11" ht="13.5">
      <c r="A88" s="291"/>
      <c r="B88" s="471"/>
      <c r="C88" s="278" t="s">
        <v>731</v>
      </c>
      <c r="D88" s="293">
        <f t="shared" si="2"/>
        <v>12</v>
      </c>
      <c r="E88" s="293"/>
      <c r="F88" s="293"/>
      <c r="G88" s="293">
        <v>6</v>
      </c>
      <c r="H88" s="293">
        <v>6</v>
      </c>
      <c r="I88" s="293"/>
      <c r="J88" s="293"/>
      <c r="K88" s="293"/>
    </row>
    <row r="89" spans="1:11" ht="13.5">
      <c r="A89" s="291"/>
      <c r="B89" s="471" t="s">
        <v>737</v>
      </c>
      <c r="C89" s="278" t="s">
        <v>419</v>
      </c>
      <c r="D89" s="293">
        <f t="shared" si="2"/>
        <v>4</v>
      </c>
      <c r="E89" s="293"/>
      <c r="F89" s="293"/>
      <c r="G89" s="293">
        <v>2</v>
      </c>
      <c r="H89" s="293">
        <v>2</v>
      </c>
      <c r="I89" s="293"/>
      <c r="J89" s="293"/>
      <c r="K89" s="293"/>
    </row>
    <row r="90" spans="1:11" ht="13.5">
      <c r="A90" s="291"/>
      <c r="B90" s="471"/>
      <c r="C90" s="278" t="s">
        <v>731</v>
      </c>
      <c r="D90" s="293">
        <f t="shared" si="2"/>
        <v>4</v>
      </c>
      <c r="E90" s="293"/>
      <c r="F90" s="293"/>
      <c r="G90" s="293">
        <v>2</v>
      </c>
      <c r="H90" s="293">
        <v>2</v>
      </c>
      <c r="I90" s="293"/>
      <c r="J90" s="293"/>
      <c r="K90" s="293"/>
    </row>
    <row r="91" spans="1:11" ht="13.5">
      <c r="A91" s="291"/>
      <c r="B91" s="471" t="s">
        <v>734</v>
      </c>
      <c r="C91" s="278" t="s">
        <v>627</v>
      </c>
      <c r="D91" s="298">
        <f t="shared" si="2"/>
        <v>12</v>
      </c>
      <c r="E91" s="293">
        <v>0</v>
      </c>
      <c r="F91" s="293">
        <v>0</v>
      </c>
      <c r="G91" s="298">
        <v>5</v>
      </c>
      <c r="H91" s="293">
        <v>7</v>
      </c>
      <c r="I91" s="298">
        <v>0</v>
      </c>
      <c r="J91" s="293">
        <v>0</v>
      </c>
      <c r="K91" s="293">
        <v>0</v>
      </c>
    </row>
    <row r="92" spans="1:11" ht="13.5">
      <c r="A92" s="291"/>
      <c r="B92" s="471"/>
      <c r="C92" s="278" t="s">
        <v>731</v>
      </c>
      <c r="D92" s="293">
        <f aca="true" t="shared" si="6" ref="D92:D106">SUM(E92:J92)</f>
        <v>26.689999999999998</v>
      </c>
      <c r="E92" s="293"/>
      <c r="F92" s="293"/>
      <c r="G92" s="293">
        <v>10.4</v>
      </c>
      <c r="H92" s="293">
        <v>16.29</v>
      </c>
      <c r="I92" s="293"/>
      <c r="J92" s="293"/>
      <c r="K92" s="293"/>
    </row>
    <row r="93" spans="1:11" ht="13.5" customHeight="1">
      <c r="A93" s="280" t="s">
        <v>817</v>
      </c>
      <c r="B93" s="264" t="s">
        <v>467</v>
      </c>
      <c r="C93" s="258" t="s">
        <v>481</v>
      </c>
      <c r="D93" s="294">
        <f t="shared" si="6"/>
        <v>18.073999999999998</v>
      </c>
      <c r="E93" s="294">
        <f>E95+E97+E99</f>
        <v>8.034</v>
      </c>
      <c r="F93" s="294">
        <f>F95+F97+F99</f>
        <v>10.04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</row>
    <row r="94" spans="1:11" ht="13.5">
      <c r="A94" s="291"/>
      <c r="B94" s="471" t="s">
        <v>736</v>
      </c>
      <c r="C94" s="278" t="s">
        <v>419</v>
      </c>
      <c r="D94" s="293">
        <f t="shared" si="6"/>
        <v>3</v>
      </c>
      <c r="E94" s="293">
        <v>2</v>
      </c>
      <c r="F94" s="293">
        <v>1</v>
      </c>
      <c r="G94" s="293"/>
      <c r="H94" s="293"/>
      <c r="I94" s="293"/>
      <c r="J94" s="293"/>
      <c r="K94" s="293"/>
    </row>
    <row r="95" spans="1:11" ht="13.5">
      <c r="A95" s="291"/>
      <c r="B95" s="471"/>
      <c r="C95" s="278" t="s">
        <v>731</v>
      </c>
      <c r="D95" s="293">
        <f t="shared" si="6"/>
        <v>9</v>
      </c>
      <c r="E95" s="293">
        <v>6</v>
      </c>
      <c r="F95" s="293">
        <v>3</v>
      </c>
      <c r="G95" s="293"/>
      <c r="H95" s="293"/>
      <c r="I95" s="293"/>
      <c r="J95" s="293"/>
      <c r="K95" s="293"/>
    </row>
    <row r="96" spans="1:11" ht="13.5">
      <c r="A96" s="291"/>
      <c r="B96" s="471" t="s">
        <v>737</v>
      </c>
      <c r="C96" s="278" t="s">
        <v>419</v>
      </c>
      <c r="D96" s="293">
        <f t="shared" si="6"/>
        <v>3</v>
      </c>
      <c r="E96" s="293">
        <v>2</v>
      </c>
      <c r="F96" s="293">
        <v>1</v>
      </c>
      <c r="G96" s="293"/>
      <c r="H96" s="293"/>
      <c r="I96" s="293"/>
      <c r="J96" s="293"/>
      <c r="K96" s="293"/>
    </row>
    <row r="97" spans="1:11" ht="13.5">
      <c r="A97" s="291"/>
      <c r="B97" s="471"/>
      <c r="C97" s="278" t="s">
        <v>731</v>
      </c>
      <c r="D97" s="293">
        <f t="shared" si="6"/>
        <v>3</v>
      </c>
      <c r="E97" s="293">
        <v>2</v>
      </c>
      <c r="F97" s="293">
        <v>1</v>
      </c>
      <c r="G97" s="293"/>
      <c r="H97" s="293"/>
      <c r="I97" s="293"/>
      <c r="J97" s="293"/>
      <c r="K97" s="293"/>
    </row>
    <row r="98" spans="1:11" ht="13.5">
      <c r="A98" s="291"/>
      <c r="B98" s="471" t="s">
        <v>734</v>
      </c>
      <c r="C98" s="278" t="s">
        <v>627</v>
      </c>
      <c r="D98" s="315">
        <f t="shared" si="6"/>
        <v>3.02</v>
      </c>
      <c r="E98" s="315">
        <v>0.02</v>
      </c>
      <c r="F98" s="298">
        <v>3</v>
      </c>
      <c r="G98" s="298">
        <v>0</v>
      </c>
      <c r="H98" s="293">
        <v>0</v>
      </c>
      <c r="I98" s="298">
        <v>0</v>
      </c>
      <c r="J98" s="293">
        <v>0</v>
      </c>
      <c r="K98" s="293">
        <v>0</v>
      </c>
    </row>
    <row r="99" spans="1:11" ht="13.5">
      <c r="A99" s="291"/>
      <c r="B99" s="471"/>
      <c r="C99" s="278" t="s">
        <v>731</v>
      </c>
      <c r="D99" s="293">
        <f t="shared" si="6"/>
        <v>6.074</v>
      </c>
      <c r="E99" s="293">
        <f>34/1000</f>
        <v>0.034</v>
      </c>
      <c r="F99" s="293">
        <v>6.04</v>
      </c>
      <c r="G99" s="293"/>
      <c r="H99" s="293"/>
      <c r="I99" s="293"/>
      <c r="J99" s="293"/>
      <c r="K99" s="293"/>
    </row>
    <row r="100" spans="1:11" ht="13.5" customHeight="1">
      <c r="A100" s="280" t="s">
        <v>871</v>
      </c>
      <c r="B100" s="264" t="s">
        <v>468</v>
      </c>
      <c r="C100" s="258" t="s">
        <v>481</v>
      </c>
      <c r="D100" s="294">
        <f t="shared" si="6"/>
        <v>17.73</v>
      </c>
      <c r="E100" s="294">
        <v>0</v>
      </c>
      <c r="F100" s="294">
        <v>6.69</v>
      </c>
      <c r="G100" s="294">
        <v>11.04</v>
      </c>
      <c r="H100" s="294">
        <v>0</v>
      </c>
      <c r="I100" s="294">
        <v>0</v>
      </c>
      <c r="J100" s="294">
        <v>0</v>
      </c>
      <c r="K100" s="294">
        <v>0</v>
      </c>
    </row>
    <row r="101" spans="1:11" ht="13.5">
      <c r="A101" s="291"/>
      <c r="B101" s="471" t="s">
        <v>736</v>
      </c>
      <c r="C101" s="278" t="s">
        <v>419</v>
      </c>
      <c r="D101" s="293">
        <f t="shared" si="6"/>
        <v>2</v>
      </c>
      <c r="E101" s="293"/>
      <c r="F101" s="293">
        <v>1</v>
      </c>
      <c r="G101" s="293">
        <v>1</v>
      </c>
      <c r="H101" s="293"/>
      <c r="I101" s="293"/>
      <c r="J101" s="293"/>
      <c r="K101" s="293"/>
    </row>
    <row r="102" spans="1:11" ht="13.5">
      <c r="A102" s="291"/>
      <c r="B102" s="471"/>
      <c r="C102" s="278" t="s">
        <v>731</v>
      </c>
      <c r="D102" s="293">
        <f t="shared" si="6"/>
        <v>6</v>
      </c>
      <c r="E102" s="293"/>
      <c r="F102" s="293">
        <v>3</v>
      </c>
      <c r="G102" s="293">
        <v>3</v>
      </c>
      <c r="H102" s="293"/>
      <c r="I102" s="293"/>
      <c r="J102" s="293"/>
      <c r="K102" s="293"/>
    </row>
    <row r="103" spans="1:11" ht="13.5">
      <c r="A103" s="291"/>
      <c r="B103" s="471" t="s">
        <v>737</v>
      </c>
      <c r="C103" s="278" t="s">
        <v>419</v>
      </c>
      <c r="D103" s="293">
        <f t="shared" si="6"/>
        <v>2</v>
      </c>
      <c r="E103" s="293"/>
      <c r="F103" s="293">
        <v>1</v>
      </c>
      <c r="G103" s="293">
        <v>1</v>
      </c>
      <c r="H103" s="293"/>
      <c r="I103" s="293"/>
      <c r="J103" s="293"/>
      <c r="K103" s="293"/>
    </row>
    <row r="104" spans="1:11" ht="13.5">
      <c r="A104" s="291"/>
      <c r="B104" s="471"/>
      <c r="C104" s="278" t="s">
        <v>731</v>
      </c>
      <c r="D104" s="293">
        <f t="shared" si="6"/>
        <v>2</v>
      </c>
      <c r="E104" s="293"/>
      <c r="F104" s="293">
        <v>1</v>
      </c>
      <c r="G104" s="293">
        <v>1</v>
      </c>
      <c r="H104" s="293"/>
      <c r="I104" s="293"/>
      <c r="J104" s="293"/>
      <c r="K104" s="293"/>
    </row>
    <row r="105" spans="1:11" ht="13.5">
      <c r="A105" s="291"/>
      <c r="B105" s="471" t="s">
        <v>734</v>
      </c>
      <c r="C105" s="278" t="s">
        <v>627</v>
      </c>
      <c r="D105" s="298">
        <f t="shared" si="6"/>
        <v>5</v>
      </c>
      <c r="E105" s="298">
        <v>0</v>
      </c>
      <c r="F105" s="298">
        <v>2</v>
      </c>
      <c r="G105" s="298">
        <v>3</v>
      </c>
      <c r="H105" s="293">
        <v>0</v>
      </c>
      <c r="I105" s="298">
        <v>0</v>
      </c>
      <c r="J105" s="293">
        <v>0</v>
      </c>
      <c r="K105" s="293">
        <v>0</v>
      </c>
    </row>
    <row r="106" spans="1:11" ht="13.5">
      <c r="A106" s="291"/>
      <c r="B106" s="471"/>
      <c r="C106" s="278" t="s">
        <v>731</v>
      </c>
      <c r="D106" s="293">
        <f t="shared" si="6"/>
        <v>9.73</v>
      </c>
      <c r="E106" s="293"/>
      <c r="F106" s="293">
        <v>2.69</v>
      </c>
      <c r="G106" s="293">
        <v>7.04</v>
      </c>
      <c r="H106" s="293"/>
      <c r="I106" s="293"/>
      <c r="J106" s="293"/>
      <c r="K106" s="293"/>
    </row>
  </sheetData>
  <sheetProtection/>
  <mergeCells count="74">
    <mergeCell ref="B105:B106"/>
    <mergeCell ref="B91:B92"/>
    <mergeCell ref="B94:B95"/>
    <mergeCell ref="B96:B97"/>
    <mergeCell ref="B98:B99"/>
    <mergeCell ref="B101:B102"/>
    <mergeCell ref="B103:B104"/>
    <mergeCell ref="B77:B78"/>
    <mergeCell ref="B80:B81"/>
    <mergeCell ref="B82:B83"/>
    <mergeCell ref="B84:B85"/>
    <mergeCell ref="B87:B88"/>
    <mergeCell ref="B89:B90"/>
    <mergeCell ref="A2:K2"/>
    <mergeCell ref="B66:B67"/>
    <mergeCell ref="B68:B69"/>
    <mergeCell ref="B70:B71"/>
    <mergeCell ref="B73:B74"/>
    <mergeCell ref="B75:B76"/>
    <mergeCell ref="B4:B5"/>
    <mergeCell ref="D4:D5"/>
    <mergeCell ref="E4:K4"/>
    <mergeCell ref="A7:A8"/>
    <mergeCell ref="A9:A10"/>
    <mergeCell ref="B9:B10"/>
    <mergeCell ref="A4:A5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8:A29"/>
    <mergeCell ref="B28:B29"/>
    <mergeCell ref="A30:A31"/>
    <mergeCell ref="B30:B31"/>
    <mergeCell ref="A32:A33"/>
    <mergeCell ref="B32:B33"/>
    <mergeCell ref="A34:A35"/>
    <mergeCell ref="B34:B35"/>
    <mergeCell ref="A38:A39"/>
    <mergeCell ref="B38:B39"/>
    <mergeCell ref="A40:A41"/>
    <mergeCell ref="B40:B41"/>
    <mergeCell ref="A42:A43"/>
    <mergeCell ref="B42:B43"/>
    <mergeCell ref="A45:A46"/>
    <mergeCell ref="B45:B46"/>
    <mergeCell ref="A47:A48"/>
    <mergeCell ref="B47:B48"/>
    <mergeCell ref="A49:A50"/>
    <mergeCell ref="B49:B50"/>
    <mergeCell ref="A52:A53"/>
    <mergeCell ref="B52:B53"/>
    <mergeCell ref="A54:A55"/>
    <mergeCell ref="B54:B55"/>
    <mergeCell ref="A63:A64"/>
    <mergeCell ref="B63:B64"/>
    <mergeCell ref="A56:A57"/>
    <mergeCell ref="B56:B57"/>
    <mergeCell ref="A59:A60"/>
    <mergeCell ref="B59:B60"/>
    <mergeCell ref="A61:A62"/>
    <mergeCell ref="B61:B62"/>
  </mergeCells>
  <printOptions/>
  <pageMargins left="0.3937007874015748" right="0" top="0.7480314960629921" bottom="0.590551181102362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132"/>
  <sheetViews>
    <sheetView zoomScalePageLayoutView="0" workbookViewId="0" topLeftCell="A2">
      <pane xSplit="3" ySplit="5" topLeftCell="D13" activePane="bottomRight" state="frozen"/>
      <selection pane="topLeft" activeCell="A2" sqref="A2"/>
      <selection pane="topRight" activeCell="D2" sqref="D2"/>
      <selection pane="bottomLeft" activeCell="A7" sqref="A7"/>
      <selection pane="bottomRight" activeCell="E8" sqref="E8"/>
    </sheetView>
  </sheetViews>
  <sheetFormatPr defaultColWidth="9.00390625" defaultRowHeight="12.75"/>
  <cols>
    <col min="1" max="1" width="4.875" style="270" customWidth="1"/>
    <col min="2" max="2" width="63.00390625" style="0" customWidth="1"/>
    <col min="4" max="11" width="8.75390625" style="0" customWidth="1"/>
  </cols>
  <sheetData>
    <row r="1" ht="12.75">
      <c r="J1" s="220" t="s">
        <v>797</v>
      </c>
    </row>
    <row r="2" spans="1:11" s="275" customFormat="1" ht="28.5" customHeight="1">
      <c r="A2" s="438" t="s">
        <v>798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6.5" customHeight="1">
      <c r="A4" s="429" t="s">
        <v>107</v>
      </c>
      <c r="B4" s="422" t="s">
        <v>738</v>
      </c>
      <c r="C4" s="258" t="s">
        <v>684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258" t="s">
        <v>685</v>
      </c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27" customHeight="1">
      <c r="A7" s="258">
        <v>1</v>
      </c>
      <c r="B7" s="264" t="s">
        <v>818</v>
      </c>
      <c r="C7" s="258" t="s">
        <v>704</v>
      </c>
      <c r="D7" s="294">
        <f>SUM(E7:K7)</f>
        <v>140</v>
      </c>
      <c r="E7" s="294">
        <f>E8+E10+E11+E20+E27+E34</f>
        <v>0</v>
      </c>
      <c r="F7" s="294">
        <f aca="true" t="shared" si="0" ref="F7:K7">F8+F10+F11+F20+F27+F34</f>
        <v>50</v>
      </c>
      <c r="G7" s="294">
        <f t="shared" si="0"/>
        <v>0</v>
      </c>
      <c r="H7" s="294">
        <f t="shared" si="0"/>
        <v>20</v>
      </c>
      <c r="I7" s="294">
        <f t="shared" si="0"/>
        <v>30</v>
      </c>
      <c r="J7" s="294">
        <f t="shared" si="0"/>
        <v>35</v>
      </c>
      <c r="K7" s="294">
        <f t="shared" si="0"/>
        <v>5</v>
      </c>
    </row>
    <row r="8" spans="1:11" ht="13.5" customHeight="1">
      <c r="A8" s="280" t="s">
        <v>429</v>
      </c>
      <c r="B8" s="277" t="s">
        <v>739</v>
      </c>
      <c r="C8" s="273" t="s">
        <v>704</v>
      </c>
      <c r="D8" s="293">
        <f aca="true" t="shared" si="1" ref="D8:D48">SUM(E8:K8)</f>
        <v>16</v>
      </c>
      <c r="E8" s="293"/>
      <c r="F8" s="293">
        <v>6</v>
      </c>
      <c r="G8" s="293"/>
      <c r="H8" s="293">
        <v>10</v>
      </c>
      <c r="I8" s="293"/>
      <c r="J8" s="293"/>
      <c r="K8" s="293"/>
    </row>
    <row r="9" spans="1:11" ht="13.5" customHeight="1">
      <c r="A9" s="450" t="s">
        <v>430</v>
      </c>
      <c r="B9" s="457" t="s">
        <v>740</v>
      </c>
      <c r="C9" s="273" t="s">
        <v>627</v>
      </c>
      <c r="D9" s="293">
        <f t="shared" si="1"/>
        <v>0</v>
      </c>
      <c r="E9" s="293"/>
      <c r="F9" s="293"/>
      <c r="G9" s="293"/>
      <c r="H9" s="293"/>
      <c r="I9" s="293"/>
      <c r="J9" s="293"/>
      <c r="K9" s="293"/>
    </row>
    <row r="10" spans="1:11" ht="13.5" customHeight="1">
      <c r="A10" s="450"/>
      <c r="B10" s="457"/>
      <c r="C10" s="273" t="s">
        <v>704</v>
      </c>
      <c r="D10" s="293">
        <f t="shared" si="1"/>
        <v>0</v>
      </c>
      <c r="E10" s="293"/>
      <c r="F10" s="293"/>
      <c r="G10" s="293"/>
      <c r="H10" s="293"/>
      <c r="I10" s="293"/>
      <c r="J10" s="293"/>
      <c r="K10" s="293"/>
    </row>
    <row r="11" spans="1:11" ht="13.5" customHeight="1">
      <c r="A11" s="280" t="s">
        <v>431</v>
      </c>
      <c r="B11" s="277" t="s">
        <v>741</v>
      </c>
      <c r="C11" s="273" t="s">
        <v>704</v>
      </c>
      <c r="D11" s="293">
        <f t="shared" si="1"/>
        <v>28.4</v>
      </c>
      <c r="E11" s="293">
        <f>E13+E15+E17+E19</f>
        <v>0</v>
      </c>
      <c r="F11" s="293">
        <f aca="true" t="shared" si="2" ref="F11:K11">F13+F15+F17+F19</f>
        <v>11.3</v>
      </c>
      <c r="G11" s="293">
        <f t="shared" si="2"/>
        <v>0</v>
      </c>
      <c r="H11" s="293">
        <f t="shared" si="2"/>
        <v>0</v>
      </c>
      <c r="I11" s="293">
        <f>I13+I15+I17+I19</f>
        <v>15.1</v>
      </c>
      <c r="J11" s="293">
        <f t="shared" si="2"/>
        <v>2</v>
      </c>
      <c r="K11" s="293">
        <f t="shared" si="2"/>
        <v>0</v>
      </c>
    </row>
    <row r="12" spans="1:11" ht="13.5" customHeight="1">
      <c r="A12" s="470" t="s">
        <v>780</v>
      </c>
      <c r="B12" s="473" t="s">
        <v>742</v>
      </c>
      <c r="C12" s="290" t="s">
        <v>717</v>
      </c>
      <c r="D12" s="295">
        <f t="shared" si="1"/>
        <v>2</v>
      </c>
      <c r="E12" s="295"/>
      <c r="F12" s="295">
        <v>1</v>
      </c>
      <c r="G12" s="295"/>
      <c r="H12" s="295"/>
      <c r="I12" s="295">
        <v>1</v>
      </c>
      <c r="J12" s="295"/>
      <c r="K12" s="295"/>
    </row>
    <row r="13" spans="1:11" ht="13.5" customHeight="1">
      <c r="A13" s="470"/>
      <c r="B13" s="473"/>
      <c r="C13" s="290" t="s">
        <v>743</v>
      </c>
      <c r="D13" s="295">
        <f t="shared" si="1"/>
        <v>2.2</v>
      </c>
      <c r="E13" s="295"/>
      <c r="F13" s="295">
        <v>1.1</v>
      </c>
      <c r="G13" s="295"/>
      <c r="H13" s="295"/>
      <c r="I13" s="295">
        <v>1.1</v>
      </c>
      <c r="J13" s="295"/>
      <c r="K13" s="295"/>
    </row>
    <row r="14" spans="1:11" ht="13.5" customHeight="1">
      <c r="A14" s="470" t="s">
        <v>781</v>
      </c>
      <c r="B14" s="473" t="s">
        <v>744</v>
      </c>
      <c r="C14" s="290" t="s">
        <v>627</v>
      </c>
      <c r="D14" s="295">
        <f t="shared" si="1"/>
        <v>0.7</v>
      </c>
      <c r="E14" s="295"/>
      <c r="F14" s="295">
        <v>0.5</v>
      </c>
      <c r="G14" s="295"/>
      <c r="H14" s="295"/>
      <c r="I14" s="295">
        <v>0.2</v>
      </c>
      <c r="J14" s="295"/>
      <c r="K14" s="295"/>
    </row>
    <row r="15" spans="1:11" ht="13.5" customHeight="1">
      <c r="A15" s="470"/>
      <c r="B15" s="473"/>
      <c r="C15" s="290" t="s">
        <v>731</v>
      </c>
      <c r="D15" s="295">
        <f t="shared" si="1"/>
        <v>1.4</v>
      </c>
      <c r="E15" s="295"/>
      <c r="F15" s="295">
        <v>1</v>
      </c>
      <c r="G15" s="295"/>
      <c r="H15" s="295"/>
      <c r="I15" s="295">
        <v>0.4</v>
      </c>
      <c r="J15" s="295"/>
      <c r="K15" s="295"/>
    </row>
    <row r="16" spans="1:11" ht="13.5" customHeight="1">
      <c r="A16" s="470" t="s">
        <v>782</v>
      </c>
      <c r="B16" s="473" t="s">
        <v>745</v>
      </c>
      <c r="C16" s="290" t="s">
        <v>627</v>
      </c>
      <c r="D16" s="295">
        <f t="shared" si="1"/>
        <v>7.5</v>
      </c>
      <c r="E16" s="295"/>
      <c r="F16" s="295">
        <v>3</v>
      </c>
      <c r="G16" s="295"/>
      <c r="H16" s="295"/>
      <c r="I16" s="295">
        <v>3.5</v>
      </c>
      <c r="J16" s="295">
        <v>1</v>
      </c>
      <c r="K16" s="295"/>
    </row>
    <row r="17" spans="1:11" ht="13.5" customHeight="1">
      <c r="A17" s="470"/>
      <c r="B17" s="473"/>
      <c r="C17" s="290" t="s">
        <v>731</v>
      </c>
      <c r="D17" s="295">
        <f t="shared" si="1"/>
        <v>15</v>
      </c>
      <c r="E17" s="295"/>
      <c r="F17" s="295">
        <v>6</v>
      </c>
      <c r="G17" s="295"/>
      <c r="H17" s="295"/>
      <c r="I17" s="295">
        <v>7</v>
      </c>
      <c r="J17" s="295">
        <v>2</v>
      </c>
      <c r="K17" s="295"/>
    </row>
    <row r="18" spans="1:11" ht="13.5" customHeight="1">
      <c r="A18" s="470" t="s">
        <v>783</v>
      </c>
      <c r="B18" s="473" t="s">
        <v>746</v>
      </c>
      <c r="C18" s="290" t="s">
        <v>627</v>
      </c>
      <c r="D18" s="295">
        <f t="shared" si="1"/>
        <v>4.5</v>
      </c>
      <c r="E18" s="295"/>
      <c r="F18" s="295">
        <f>0.5+1</f>
        <v>1.5</v>
      </c>
      <c r="G18" s="295"/>
      <c r="H18" s="295"/>
      <c r="I18" s="295">
        <v>3</v>
      </c>
      <c r="J18" s="295"/>
      <c r="K18" s="295"/>
    </row>
    <row r="19" spans="1:11" ht="13.5" customHeight="1">
      <c r="A19" s="470"/>
      <c r="B19" s="473"/>
      <c r="C19" s="290" t="s">
        <v>731</v>
      </c>
      <c r="D19" s="295">
        <f t="shared" si="1"/>
        <v>9.8</v>
      </c>
      <c r="E19" s="295"/>
      <c r="F19" s="295">
        <f>1+2.2</f>
        <v>3.2</v>
      </c>
      <c r="G19" s="295"/>
      <c r="H19" s="295"/>
      <c r="I19" s="295">
        <v>6.6</v>
      </c>
      <c r="J19" s="295"/>
      <c r="K19" s="295"/>
    </row>
    <row r="20" spans="1:11" ht="13.5" customHeight="1">
      <c r="A20" s="280" t="s">
        <v>432</v>
      </c>
      <c r="B20" s="277" t="s">
        <v>747</v>
      </c>
      <c r="C20" s="273" t="s">
        <v>731</v>
      </c>
      <c r="D20" s="293">
        <f t="shared" si="1"/>
        <v>8.6</v>
      </c>
      <c r="E20" s="293">
        <f>E22+E24+E26</f>
        <v>0</v>
      </c>
      <c r="F20" s="293">
        <f aca="true" t="shared" si="3" ref="F20:K20">F22+F24+F26</f>
        <v>2.6</v>
      </c>
      <c r="G20" s="293">
        <f t="shared" si="3"/>
        <v>0</v>
      </c>
      <c r="H20" s="293">
        <f t="shared" si="3"/>
        <v>0</v>
      </c>
      <c r="I20" s="293">
        <f t="shared" si="3"/>
        <v>5.5</v>
      </c>
      <c r="J20" s="293">
        <f t="shared" si="3"/>
        <v>0.5</v>
      </c>
      <c r="K20" s="293">
        <f t="shared" si="3"/>
        <v>0</v>
      </c>
    </row>
    <row r="21" spans="1:11" ht="13.5" customHeight="1">
      <c r="A21" s="470" t="s">
        <v>784</v>
      </c>
      <c r="B21" s="473" t="s">
        <v>748</v>
      </c>
      <c r="C21" s="290" t="s">
        <v>627</v>
      </c>
      <c r="D21" s="295">
        <f t="shared" si="1"/>
        <v>1.4</v>
      </c>
      <c r="E21" s="295"/>
      <c r="F21" s="295">
        <v>1</v>
      </c>
      <c r="G21" s="295"/>
      <c r="H21" s="295"/>
      <c r="I21" s="295">
        <v>0.4</v>
      </c>
      <c r="J21" s="295"/>
      <c r="K21" s="295"/>
    </row>
    <row r="22" spans="1:11" ht="13.5" customHeight="1">
      <c r="A22" s="470"/>
      <c r="B22" s="473"/>
      <c r="C22" s="290" t="s">
        <v>731</v>
      </c>
      <c r="D22" s="295">
        <f t="shared" si="1"/>
        <v>3.5</v>
      </c>
      <c r="E22" s="295"/>
      <c r="F22" s="295">
        <v>0.7</v>
      </c>
      <c r="G22" s="295"/>
      <c r="H22" s="295"/>
      <c r="I22" s="295">
        <v>2.8</v>
      </c>
      <c r="J22" s="295"/>
      <c r="K22" s="295"/>
    </row>
    <row r="23" spans="1:11" ht="13.5" customHeight="1">
      <c r="A23" s="470" t="s">
        <v>785</v>
      </c>
      <c r="B23" s="473" t="s">
        <v>749</v>
      </c>
      <c r="C23" s="290" t="s">
        <v>419</v>
      </c>
      <c r="D23" s="295">
        <f t="shared" si="1"/>
        <v>2</v>
      </c>
      <c r="E23" s="295"/>
      <c r="F23" s="295">
        <v>1</v>
      </c>
      <c r="G23" s="295"/>
      <c r="H23" s="295"/>
      <c r="I23" s="295">
        <v>1</v>
      </c>
      <c r="J23" s="295"/>
      <c r="K23" s="295"/>
    </row>
    <row r="24" spans="1:11" ht="13.5" customHeight="1">
      <c r="A24" s="470"/>
      <c r="B24" s="473"/>
      <c r="C24" s="290" t="s">
        <v>731</v>
      </c>
      <c r="D24" s="295">
        <f t="shared" si="1"/>
        <v>0.7</v>
      </c>
      <c r="E24" s="295"/>
      <c r="F24" s="295">
        <v>0.4</v>
      </c>
      <c r="G24" s="295"/>
      <c r="H24" s="295"/>
      <c r="I24" s="295">
        <v>0.3</v>
      </c>
      <c r="J24" s="295"/>
      <c r="K24" s="295"/>
    </row>
    <row r="25" spans="1:11" ht="13.5" customHeight="1">
      <c r="A25" s="470" t="s">
        <v>786</v>
      </c>
      <c r="B25" s="473" t="s">
        <v>750</v>
      </c>
      <c r="C25" s="290" t="s">
        <v>627</v>
      </c>
      <c r="D25" s="295">
        <f t="shared" si="1"/>
        <v>9</v>
      </c>
      <c r="E25" s="295"/>
      <c r="F25" s="295">
        <v>3</v>
      </c>
      <c r="G25" s="295"/>
      <c r="H25" s="295"/>
      <c r="I25" s="295">
        <v>5</v>
      </c>
      <c r="J25" s="295">
        <v>1</v>
      </c>
      <c r="K25" s="295"/>
    </row>
    <row r="26" spans="1:11" ht="13.5" customHeight="1">
      <c r="A26" s="470"/>
      <c r="B26" s="473"/>
      <c r="C26" s="290" t="s">
        <v>731</v>
      </c>
      <c r="D26" s="295">
        <f t="shared" si="1"/>
        <v>4.4</v>
      </c>
      <c r="E26" s="295"/>
      <c r="F26" s="295">
        <v>1.5</v>
      </c>
      <c r="G26" s="295"/>
      <c r="H26" s="295"/>
      <c r="I26" s="295">
        <v>2.4</v>
      </c>
      <c r="J26" s="295">
        <v>0.5</v>
      </c>
      <c r="K26" s="295"/>
    </row>
    <row r="27" spans="1:11" ht="13.5" customHeight="1">
      <c r="A27" s="280" t="s">
        <v>433</v>
      </c>
      <c r="B27" s="277" t="s">
        <v>751</v>
      </c>
      <c r="C27" s="273" t="s">
        <v>731</v>
      </c>
      <c r="D27" s="293">
        <f t="shared" si="1"/>
        <v>25.55</v>
      </c>
      <c r="E27" s="293">
        <f>E29+E31+E33</f>
        <v>0</v>
      </c>
      <c r="F27" s="293">
        <f aca="true" t="shared" si="4" ref="F27:K27">F29+F31+F33</f>
        <v>12.1</v>
      </c>
      <c r="G27" s="293">
        <f t="shared" si="4"/>
        <v>0</v>
      </c>
      <c r="H27" s="293">
        <f t="shared" si="4"/>
        <v>0</v>
      </c>
      <c r="I27" s="293">
        <f t="shared" si="4"/>
        <v>9.4</v>
      </c>
      <c r="J27" s="293">
        <f t="shared" si="4"/>
        <v>4.05</v>
      </c>
      <c r="K27" s="293">
        <f t="shared" si="4"/>
        <v>0</v>
      </c>
    </row>
    <row r="28" spans="1:11" ht="13.5" customHeight="1">
      <c r="A28" s="470" t="s">
        <v>787</v>
      </c>
      <c r="B28" s="473" t="s">
        <v>752</v>
      </c>
      <c r="C28" s="290" t="s">
        <v>419</v>
      </c>
      <c r="D28" s="293">
        <f t="shared" si="1"/>
        <v>2</v>
      </c>
      <c r="E28" s="293"/>
      <c r="F28" s="293">
        <v>1</v>
      </c>
      <c r="G28" s="293"/>
      <c r="H28" s="293"/>
      <c r="I28" s="293">
        <v>1</v>
      </c>
      <c r="J28" s="293"/>
      <c r="K28" s="293"/>
    </row>
    <row r="29" spans="1:11" ht="13.5" customHeight="1">
      <c r="A29" s="470"/>
      <c r="B29" s="473"/>
      <c r="C29" s="290" t="s">
        <v>731</v>
      </c>
      <c r="D29" s="293">
        <f t="shared" si="1"/>
        <v>6</v>
      </c>
      <c r="E29" s="293"/>
      <c r="F29" s="293">
        <v>3</v>
      </c>
      <c r="G29" s="293"/>
      <c r="H29" s="293"/>
      <c r="I29" s="293">
        <v>3</v>
      </c>
      <c r="J29" s="293"/>
      <c r="K29" s="293"/>
    </row>
    <row r="30" spans="1:11" ht="13.5" customHeight="1">
      <c r="A30" s="470" t="s">
        <v>788</v>
      </c>
      <c r="B30" s="473" t="s">
        <v>753</v>
      </c>
      <c r="C30" s="290" t="s">
        <v>419</v>
      </c>
      <c r="D30" s="293">
        <f t="shared" si="1"/>
        <v>2</v>
      </c>
      <c r="E30" s="293"/>
      <c r="F30" s="293">
        <v>1</v>
      </c>
      <c r="G30" s="293"/>
      <c r="H30" s="293"/>
      <c r="I30" s="293">
        <v>1</v>
      </c>
      <c r="J30" s="293"/>
      <c r="K30" s="293"/>
    </row>
    <row r="31" spans="1:11" ht="13.5" customHeight="1">
      <c r="A31" s="470"/>
      <c r="B31" s="473"/>
      <c r="C31" s="290" t="s">
        <v>731</v>
      </c>
      <c r="D31" s="293">
        <f t="shared" si="1"/>
        <v>2</v>
      </c>
      <c r="E31" s="293"/>
      <c r="F31" s="293">
        <v>1</v>
      </c>
      <c r="G31" s="293"/>
      <c r="H31" s="293"/>
      <c r="I31" s="293">
        <v>1</v>
      </c>
      <c r="J31" s="293"/>
      <c r="K31" s="293"/>
    </row>
    <row r="32" spans="1:11" ht="13.5" customHeight="1">
      <c r="A32" s="470" t="s">
        <v>789</v>
      </c>
      <c r="B32" s="473" t="s">
        <v>754</v>
      </c>
      <c r="C32" s="290" t="s">
        <v>627</v>
      </c>
      <c r="D32" s="293">
        <f t="shared" si="1"/>
        <v>6.5</v>
      </c>
      <c r="E32" s="293"/>
      <c r="F32" s="293">
        <v>3</v>
      </c>
      <c r="G32" s="293"/>
      <c r="H32" s="293"/>
      <c r="I32" s="293">
        <v>2</v>
      </c>
      <c r="J32" s="293">
        <v>1.5</v>
      </c>
      <c r="K32" s="293"/>
    </row>
    <row r="33" spans="1:11" ht="13.5" customHeight="1">
      <c r="A33" s="470"/>
      <c r="B33" s="473"/>
      <c r="C33" s="290" t="s">
        <v>731</v>
      </c>
      <c r="D33" s="293">
        <f t="shared" si="1"/>
        <v>17.55</v>
      </c>
      <c r="E33" s="293"/>
      <c r="F33" s="293">
        <v>8.1</v>
      </c>
      <c r="G33" s="293"/>
      <c r="H33" s="293"/>
      <c r="I33" s="293">
        <v>5.4</v>
      </c>
      <c r="J33" s="293">
        <v>4.05</v>
      </c>
      <c r="K33" s="293"/>
    </row>
    <row r="34" spans="1:11" ht="13.5" customHeight="1">
      <c r="A34" s="280" t="s">
        <v>708</v>
      </c>
      <c r="B34" s="277" t="s">
        <v>755</v>
      </c>
      <c r="C34" s="273" t="s">
        <v>731</v>
      </c>
      <c r="D34" s="293">
        <f t="shared" si="1"/>
        <v>61.45</v>
      </c>
      <c r="E34" s="293">
        <f>E36+E38+E40+E42+E44+E46+E48</f>
        <v>0</v>
      </c>
      <c r="F34" s="293">
        <f aca="true" t="shared" si="5" ref="F34:K34">F36+F38+F40+F42+F44+F46+F48</f>
        <v>18</v>
      </c>
      <c r="G34" s="293">
        <f t="shared" si="5"/>
        <v>0</v>
      </c>
      <c r="H34" s="293">
        <f t="shared" si="5"/>
        <v>10</v>
      </c>
      <c r="I34" s="293">
        <f t="shared" si="5"/>
        <v>0</v>
      </c>
      <c r="J34" s="293">
        <f t="shared" si="5"/>
        <v>28.45</v>
      </c>
      <c r="K34" s="293">
        <f t="shared" si="5"/>
        <v>5</v>
      </c>
    </row>
    <row r="35" spans="1:11" ht="13.5" customHeight="1">
      <c r="A35" s="470" t="s">
        <v>790</v>
      </c>
      <c r="B35" s="473" t="s">
        <v>756</v>
      </c>
      <c r="C35" s="290" t="s">
        <v>419</v>
      </c>
      <c r="D35" s="295">
        <f t="shared" si="1"/>
        <v>0</v>
      </c>
      <c r="E35" s="295"/>
      <c r="F35" s="295"/>
      <c r="G35" s="295"/>
      <c r="H35" s="295"/>
      <c r="I35" s="295"/>
      <c r="J35" s="295"/>
      <c r="K35" s="295"/>
    </row>
    <row r="36" spans="1:11" ht="13.5" customHeight="1">
      <c r="A36" s="470"/>
      <c r="B36" s="473"/>
      <c r="C36" s="290" t="s">
        <v>731</v>
      </c>
      <c r="D36" s="295">
        <f t="shared" si="1"/>
        <v>0</v>
      </c>
      <c r="E36" s="295"/>
      <c r="F36" s="295"/>
      <c r="G36" s="295"/>
      <c r="H36" s="295"/>
      <c r="I36" s="295"/>
      <c r="J36" s="295"/>
      <c r="K36" s="295"/>
    </row>
    <row r="37" spans="1:11" ht="13.5" customHeight="1">
      <c r="A37" s="470" t="s">
        <v>791</v>
      </c>
      <c r="B37" s="473" t="s">
        <v>757</v>
      </c>
      <c r="C37" s="290" t="s">
        <v>419</v>
      </c>
      <c r="D37" s="295">
        <f t="shared" si="1"/>
        <v>0</v>
      </c>
      <c r="E37" s="295"/>
      <c r="F37" s="295"/>
      <c r="G37" s="295"/>
      <c r="H37" s="295"/>
      <c r="I37" s="295"/>
      <c r="J37" s="295"/>
      <c r="K37" s="295"/>
    </row>
    <row r="38" spans="1:11" ht="13.5" customHeight="1">
      <c r="A38" s="470"/>
      <c r="B38" s="473"/>
      <c r="C38" s="290" t="s">
        <v>731</v>
      </c>
      <c r="D38" s="295">
        <f t="shared" si="1"/>
        <v>0</v>
      </c>
      <c r="E38" s="295"/>
      <c r="F38" s="295"/>
      <c r="G38" s="295"/>
      <c r="H38" s="295"/>
      <c r="I38" s="295"/>
      <c r="J38" s="295"/>
      <c r="K38" s="295"/>
    </row>
    <row r="39" spans="1:11" ht="13.5" customHeight="1">
      <c r="A39" s="470" t="s">
        <v>792</v>
      </c>
      <c r="B39" s="473" t="s">
        <v>758</v>
      </c>
      <c r="C39" s="290" t="s">
        <v>419</v>
      </c>
      <c r="D39" s="295">
        <f t="shared" si="1"/>
        <v>0</v>
      </c>
      <c r="E39" s="295"/>
      <c r="F39" s="295"/>
      <c r="G39" s="295"/>
      <c r="H39" s="295"/>
      <c r="I39" s="295"/>
      <c r="J39" s="295"/>
      <c r="K39" s="295"/>
    </row>
    <row r="40" spans="1:11" ht="13.5" customHeight="1">
      <c r="A40" s="470"/>
      <c r="B40" s="473"/>
      <c r="C40" s="290" t="s">
        <v>731</v>
      </c>
      <c r="D40" s="295">
        <f t="shared" si="1"/>
        <v>0</v>
      </c>
      <c r="E40" s="295"/>
      <c r="F40" s="295"/>
      <c r="G40" s="295"/>
      <c r="H40" s="295"/>
      <c r="I40" s="295"/>
      <c r="J40" s="295"/>
      <c r="K40" s="295"/>
    </row>
    <row r="41" spans="1:11" ht="13.5" customHeight="1">
      <c r="A41" s="470" t="s">
        <v>793</v>
      </c>
      <c r="B41" s="473" t="s">
        <v>759</v>
      </c>
      <c r="C41" s="290" t="s">
        <v>419</v>
      </c>
      <c r="D41" s="295">
        <f t="shared" si="1"/>
        <v>0</v>
      </c>
      <c r="E41" s="295"/>
      <c r="F41" s="295"/>
      <c r="G41" s="295"/>
      <c r="H41" s="295"/>
      <c r="I41" s="295"/>
      <c r="J41" s="295"/>
      <c r="K41" s="295"/>
    </row>
    <row r="42" spans="1:11" ht="13.5" customHeight="1">
      <c r="A42" s="470"/>
      <c r="B42" s="473"/>
      <c r="C42" s="290" t="s">
        <v>731</v>
      </c>
      <c r="D42" s="295">
        <f t="shared" si="1"/>
        <v>0</v>
      </c>
      <c r="E42" s="295"/>
      <c r="F42" s="295"/>
      <c r="G42" s="295"/>
      <c r="H42" s="295"/>
      <c r="I42" s="295"/>
      <c r="J42" s="295"/>
      <c r="K42" s="295"/>
    </row>
    <row r="43" spans="1:11" ht="13.5" customHeight="1">
      <c r="A43" s="470" t="s">
        <v>794</v>
      </c>
      <c r="B43" s="473" t="s">
        <v>760</v>
      </c>
      <c r="C43" s="290" t="s">
        <v>419</v>
      </c>
      <c r="D43" s="295">
        <f t="shared" si="1"/>
        <v>0</v>
      </c>
      <c r="E43" s="295"/>
      <c r="F43" s="295"/>
      <c r="G43" s="295"/>
      <c r="H43" s="295"/>
      <c r="I43" s="295"/>
      <c r="J43" s="295"/>
      <c r="K43" s="295"/>
    </row>
    <row r="44" spans="1:11" ht="13.5" customHeight="1">
      <c r="A44" s="470"/>
      <c r="B44" s="473"/>
      <c r="C44" s="290" t="s">
        <v>731</v>
      </c>
      <c r="D44" s="295">
        <f t="shared" si="1"/>
        <v>0</v>
      </c>
      <c r="E44" s="295"/>
      <c r="F44" s="295"/>
      <c r="G44" s="295"/>
      <c r="H44" s="295"/>
      <c r="I44" s="295"/>
      <c r="J44" s="295"/>
      <c r="K44" s="295"/>
    </row>
    <row r="45" spans="1:11" ht="13.5" customHeight="1">
      <c r="A45" s="470" t="s">
        <v>795</v>
      </c>
      <c r="B45" s="473" t="s">
        <v>761</v>
      </c>
      <c r="C45" s="290" t="s">
        <v>627</v>
      </c>
      <c r="D45" s="295">
        <f t="shared" si="1"/>
        <v>15.15</v>
      </c>
      <c r="E45" s="295"/>
      <c r="F45" s="295">
        <v>1.8</v>
      </c>
      <c r="G45" s="295"/>
      <c r="H45" s="295">
        <v>10</v>
      </c>
      <c r="I45" s="295"/>
      <c r="J45" s="295">
        <v>2.85</v>
      </c>
      <c r="K45" s="295">
        <v>0.5</v>
      </c>
    </row>
    <row r="46" spans="1:11" ht="13.5" customHeight="1">
      <c r="A46" s="470"/>
      <c r="B46" s="473"/>
      <c r="C46" s="290" t="s">
        <v>731</v>
      </c>
      <c r="D46" s="295">
        <f t="shared" si="1"/>
        <v>61.45</v>
      </c>
      <c r="E46" s="295"/>
      <c r="F46" s="295">
        <v>18</v>
      </c>
      <c r="G46" s="295"/>
      <c r="H46" s="295">
        <v>10</v>
      </c>
      <c r="I46" s="295"/>
      <c r="J46" s="295">
        <v>28.45</v>
      </c>
      <c r="K46" s="295">
        <v>5</v>
      </c>
    </row>
    <row r="47" spans="1:11" ht="13.5" customHeight="1">
      <c r="A47" s="470" t="s">
        <v>796</v>
      </c>
      <c r="B47" s="473" t="s">
        <v>762</v>
      </c>
      <c r="C47" s="290" t="s">
        <v>617</v>
      </c>
      <c r="D47" s="295">
        <f t="shared" si="1"/>
        <v>0</v>
      </c>
      <c r="E47" s="295"/>
      <c r="F47" s="295"/>
      <c r="G47" s="295"/>
      <c r="H47" s="295"/>
      <c r="I47" s="295"/>
      <c r="J47" s="295"/>
      <c r="K47" s="295"/>
    </row>
    <row r="48" spans="1:11" ht="13.5" customHeight="1">
      <c r="A48" s="470"/>
      <c r="B48" s="473"/>
      <c r="C48" s="290" t="s">
        <v>731</v>
      </c>
      <c r="D48" s="295">
        <f t="shared" si="1"/>
        <v>0</v>
      </c>
      <c r="E48" s="295"/>
      <c r="F48" s="295"/>
      <c r="G48" s="295"/>
      <c r="H48" s="295"/>
      <c r="I48" s="295"/>
      <c r="J48" s="295"/>
      <c r="K48" s="295"/>
    </row>
    <row r="49" spans="1:11" ht="28.5" customHeight="1">
      <c r="A49" s="258">
        <v>2</v>
      </c>
      <c r="B49" s="264" t="s">
        <v>819</v>
      </c>
      <c r="C49" s="258" t="s">
        <v>704</v>
      </c>
      <c r="D49" s="294">
        <f>SUM(E49:K49)</f>
        <v>85</v>
      </c>
      <c r="E49" s="294">
        <f aca="true" t="shared" si="6" ref="E49:K49">E50+E52+E53+E62+E69+E76</f>
        <v>0</v>
      </c>
      <c r="F49" s="294">
        <f t="shared" si="6"/>
        <v>53</v>
      </c>
      <c r="G49" s="294">
        <f t="shared" si="6"/>
        <v>32</v>
      </c>
      <c r="H49" s="294">
        <f t="shared" si="6"/>
        <v>0</v>
      </c>
      <c r="I49" s="294">
        <f t="shared" si="6"/>
        <v>0</v>
      </c>
      <c r="J49" s="294">
        <f t="shared" si="6"/>
        <v>0</v>
      </c>
      <c r="K49" s="294">
        <f t="shared" si="6"/>
        <v>0</v>
      </c>
    </row>
    <row r="50" spans="1:11" ht="13.5" customHeight="1">
      <c r="A50" s="280" t="s">
        <v>645</v>
      </c>
      <c r="B50" s="277" t="s">
        <v>739</v>
      </c>
      <c r="C50" s="273" t="s">
        <v>704</v>
      </c>
      <c r="D50" s="293">
        <f aca="true" t="shared" si="7" ref="D50:D90">SUM(E50:K50)</f>
        <v>10</v>
      </c>
      <c r="E50" s="293"/>
      <c r="F50" s="293">
        <v>10</v>
      </c>
      <c r="G50" s="293"/>
      <c r="H50" s="293"/>
      <c r="I50" s="293"/>
      <c r="J50" s="293"/>
      <c r="K50" s="293"/>
    </row>
    <row r="51" spans="1:11" ht="13.5" customHeight="1">
      <c r="A51" s="450" t="s">
        <v>651</v>
      </c>
      <c r="B51" s="457" t="s">
        <v>740</v>
      </c>
      <c r="C51" s="273" t="s">
        <v>627</v>
      </c>
      <c r="D51" s="293">
        <f t="shared" si="7"/>
        <v>1</v>
      </c>
      <c r="E51" s="293"/>
      <c r="F51" s="293">
        <v>0.5</v>
      </c>
      <c r="G51" s="293">
        <v>0.5</v>
      </c>
      <c r="H51" s="293"/>
      <c r="I51" s="293"/>
      <c r="J51" s="293"/>
      <c r="K51" s="293"/>
    </row>
    <row r="52" spans="1:11" ht="13.5" customHeight="1">
      <c r="A52" s="450"/>
      <c r="B52" s="457"/>
      <c r="C52" s="273" t="s">
        <v>704</v>
      </c>
      <c r="D52" s="293">
        <f t="shared" si="7"/>
        <v>10</v>
      </c>
      <c r="E52" s="293"/>
      <c r="F52" s="293">
        <v>5</v>
      </c>
      <c r="G52" s="293">
        <v>5</v>
      </c>
      <c r="H52" s="293"/>
      <c r="I52" s="293"/>
      <c r="J52" s="293"/>
      <c r="K52" s="293"/>
    </row>
    <row r="53" spans="1:11" ht="13.5" customHeight="1">
      <c r="A53" s="280" t="s">
        <v>655</v>
      </c>
      <c r="B53" s="277" t="s">
        <v>741</v>
      </c>
      <c r="C53" s="273" t="s">
        <v>704</v>
      </c>
      <c r="D53" s="293">
        <f t="shared" si="7"/>
        <v>15.1</v>
      </c>
      <c r="E53" s="293">
        <f>E55+E57+E59+E61</f>
        <v>0</v>
      </c>
      <c r="F53" s="293">
        <f aca="true" t="shared" si="8" ref="F53:K53">F55+F57+F59+F61</f>
        <v>15.1</v>
      </c>
      <c r="G53" s="293">
        <f t="shared" si="8"/>
        <v>0</v>
      </c>
      <c r="H53" s="293">
        <f t="shared" si="8"/>
        <v>0</v>
      </c>
      <c r="I53" s="293">
        <v>0</v>
      </c>
      <c r="J53" s="293">
        <f t="shared" si="8"/>
        <v>0</v>
      </c>
      <c r="K53" s="293">
        <f t="shared" si="8"/>
        <v>0</v>
      </c>
    </row>
    <row r="54" spans="1:11" ht="13.5" customHeight="1">
      <c r="A54" s="470" t="s">
        <v>656</v>
      </c>
      <c r="B54" s="473" t="s">
        <v>742</v>
      </c>
      <c r="C54" s="290" t="s">
        <v>717</v>
      </c>
      <c r="D54" s="295">
        <f t="shared" si="7"/>
        <v>1</v>
      </c>
      <c r="E54" s="295"/>
      <c r="F54" s="295">
        <v>1</v>
      </c>
      <c r="G54" s="295"/>
      <c r="H54" s="295"/>
      <c r="I54" s="65"/>
      <c r="J54" s="295"/>
      <c r="K54" s="295"/>
    </row>
    <row r="55" spans="1:11" ht="13.5" customHeight="1">
      <c r="A55" s="470"/>
      <c r="B55" s="473"/>
      <c r="C55" s="290" t="s">
        <v>743</v>
      </c>
      <c r="D55" s="295">
        <f t="shared" si="7"/>
        <v>1.1</v>
      </c>
      <c r="E55" s="295"/>
      <c r="F55" s="295">
        <v>1.1</v>
      </c>
      <c r="G55" s="295"/>
      <c r="H55" s="295"/>
      <c r="I55" s="65"/>
      <c r="J55" s="295"/>
      <c r="K55" s="295"/>
    </row>
    <row r="56" spans="1:11" ht="13.5" customHeight="1">
      <c r="A56" s="470" t="s">
        <v>657</v>
      </c>
      <c r="B56" s="473" t="s">
        <v>744</v>
      </c>
      <c r="C56" s="290" t="s">
        <v>627</v>
      </c>
      <c r="D56" s="295">
        <f t="shared" si="7"/>
        <v>0.2</v>
      </c>
      <c r="E56" s="295"/>
      <c r="F56" s="295">
        <v>0.2</v>
      </c>
      <c r="G56" s="295"/>
      <c r="H56" s="295"/>
      <c r="I56" s="65"/>
      <c r="J56" s="295"/>
      <c r="K56" s="295"/>
    </row>
    <row r="57" spans="1:11" ht="13.5" customHeight="1">
      <c r="A57" s="470"/>
      <c r="B57" s="473"/>
      <c r="C57" s="290" t="s">
        <v>731</v>
      </c>
      <c r="D57" s="295">
        <f t="shared" si="7"/>
        <v>0.4</v>
      </c>
      <c r="E57" s="295"/>
      <c r="F57" s="295">
        <v>0.4</v>
      </c>
      <c r="G57" s="295"/>
      <c r="H57" s="295"/>
      <c r="I57" s="65"/>
      <c r="J57" s="295"/>
      <c r="K57" s="295"/>
    </row>
    <row r="58" spans="1:11" ht="13.5" customHeight="1">
      <c r="A58" s="470" t="s">
        <v>658</v>
      </c>
      <c r="B58" s="473" t="s">
        <v>745</v>
      </c>
      <c r="C58" s="290" t="s">
        <v>627</v>
      </c>
      <c r="D58" s="295">
        <f t="shared" si="7"/>
        <v>3.5</v>
      </c>
      <c r="E58" s="295"/>
      <c r="F58" s="295">
        <v>3.5</v>
      </c>
      <c r="G58" s="295"/>
      <c r="H58" s="295"/>
      <c r="I58" s="65"/>
      <c r="J58" s="295"/>
      <c r="K58" s="295"/>
    </row>
    <row r="59" spans="1:11" ht="13.5" customHeight="1">
      <c r="A59" s="470"/>
      <c r="B59" s="473"/>
      <c r="C59" s="290" t="s">
        <v>731</v>
      </c>
      <c r="D59" s="295">
        <f t="shared" si="7"/>
        <v>7</v>
      </c>
      <c r="E59" s="295"/>
      <c r="F59" s="295">
        <v>7</v>
      </c>
      <c r="G59" s="295"/>
      <c r="H59" s="295"/>
      <c r="I59" s="65"/>
      <c r="J59" s="295"/>
      <c r="K59" s="295"/>
    </row>
    <row r="60" spans="1:11" ht="13.5" customHeight="1">
      <c r="A60" s="470" t="s">
        <v>659</v>
      </c>
      <c r="B60" s="473" t="s">
        <v>746</v>
      </c>
      <c r="C60" s="290" t="s">
        <v>627</v>
      </c>
      <c r="D60" s="295">
        <f t="shared" si="7"/>
        <v>3</v>
      </c>
      <c r="E60" s="295"/>
      <c r="F60" s="295">
        <v>3</v>
      </c>
      <c r="G60" s="295"/>
      <c r="H60" s="295"/>
      <c r="I60" s="65"/>
      <c r="J60" s="295"/>
      <c r="K60" s="295"/>
    </row>
    <row r="61" spans="1:11" ht="13.5" customHeight="1">
      <c r="A61" s="470"/>
      <c r="B61" s="473"/>
      <c r="C61" s="290" t="s">
        <v>731</v>
      </c>
      <c r="D61" s="295">
        <f t="shared" si="7"/>
        <v>6.6</v>
      </c>
      <c r="E61" s="295"/>
      <c r="F61" s="295">
        <v>6.6</v>
      </c>
      <c r="G61" s="295"/>
      <c r="H61" s="295"/>
      <c r="I61" s="65"/>
      <c r="J61" s="295"/>
      <c r="K61" s="295"/>
    </row>
    <row r="62" spans="1:11" ht="13.5" customHeight="1">
      <c r="A62" s="280" t="s">
        <v>662</v>
      </c>
      <c r="B62" s="277" t="s">
        <v>747</v>
      </c>
      <c r="C62" s="273" t="s">
        <v>731</v>
      </c>
      <c r="D62" s="293">
        <f t="shared" si="7"/>
        <v>3.8</v>
      </c>
      <c r="E62" s="293">
        <f>E64+E66+E68</f>
        <v>0</v>
      </c>
      <c r="F62" s="293">
        <f aca="true" t="shared" si="9" ref="F62:K62">F64+F66+F68</f>
        <v>3.8</v>
      </c>
      <c r="G62" s="293">
        <f t="shared" si="9"/>
        <v>0</v>
      </c>
      <c r="H62" s="293">
        <f t="shared" si="9"/>
        <v>0</v>
      </c>
      <c r="I62" s="293">
        <v>0</v>
      </c>
      <c r="J62" s="293">
        <f t="shared" si="9"/>
        <v>0</v>
      </c>
      <c r="K62" s="293">
        <f t="shared" si="9"/>
        <v>0</v>
      </c>
    </row>
    <row r="63" spans="1:11" ht="13.5" customHeight="1">
      <c r="A63" s="470" t="s">
        <v>663</v>
      </c>
      <c r="B63" s="473" t="s">
        <v>748</v>
      </c>
      <c r="C63" s="290" t="s">
        <v>627</v>
      </c>
      <c r="D63" s="295">
        <f t="shared" si="7"/>
        <v>0.1</v>
      </c>
      <c r="E63" s="295"/>
      <c r="F63" s="295">
        <v>0.1</v>
      </c>
      <c r="G63" s="295"/>
      <c r="H63" s="295"/>
      <c r="I63" s="65"/>
      <c r="J63" s="295"/>
      <c r="K63" s="295"/>
    </row>
    <row r="64" spans="1:11" ht="13.5" customHeight="1">
      <c r="A64" s="470"/>
      <c r="B64" s="473"/>
      <c r="C64" s="290" t="s">
        <v>731</v>
      </c>
      <c r="D64" s="295">
        <f t="shared" si="7"/>
        <v>0.7</v>
      </c>
      <c r="E64" s="295"/>
      <c r="F64" s="295">
        <v>0.7</v>
      </c>
      <c r="G64" s="295"/>
      <c r="H64" s="295"/>
      <c r="I64" s="65"/>
      <c r="J64" s="295"/>
      <c r="K64" s="295"/>
    </row>
    <row r="65" spans="1:11" ht="13.5" customHeight="1">
      <c r="A65" s="470" t="s">
        <v>664</v>
      </c>
      <c r="B65" s="473" t="s">
        <v>749</v>
      </c>
      <c r="C65" s="290" t="s">
        <v>419</v>
      </c>
      <c r="D65" s="295">
        <f t="shared" si="7"/>
        <v>2</v>
      </c>
      <c r="E65" s="295"/>
      <c r="F65" s="295">
        <v>2</v>
      </c>
      <c r="G65" s="295"/>
      <c r="H65" s="295"/>
      <c r="I65" s="65"/>
      <c r="J65" s="295"/>
      <c r="K65" s="295"/>
    </row>
    <row r="66" spans="1:11" ht="13.5" customHeight="1">
      <c r="A66" s="470"/>
      <c r="B66" s="473"/>
      <c r="C66" s="290" t="s">
        <v>731</v>
      </c>
      <c r="D66" s="295">
        <f t="shared" si="7"/>
        <v>0.6</v>
      </c>
      <c r="E66" s="295"/>
      <c r="F66" s="295">
        <v>0.6</v>
      </c>
      <c r="G66" s="295"/>
      <c r="H66" s="295"/>
      <c r="I66" s="65"/>
      <c r="J66" s="295"/>
      <c r="K66" s="295"/>
    </row>
    <row r="67" spans="1:11" ht="13.5" customHeight="1">
      <c r="A67" s="470" t="s">
        <v>665</v>
      </c>
      <c r="B67" s="473" t="s">
        <v>750</v>
      </c>
      <c r="C67" s="290" t="s">
        <v>627</v>
      </c>
      <c r="D67" s="295">
        <f t="shared" si="7"/>
        <v>5</v>
      </c>
      <c r="E67" s="295"/>
      <c r="F67" s="295">
        <v>5</v>
      </c>
      <c r="G67" s="295"/>
      <c r="H67" s="295"/>
      <c r="I67" s="65"/>
      <c r="J67" s="295"/>
      <c r="K67" s="295"/>
    </row>
    <row r="68" spans="1:11" ht="13.5" customHeight="1">
      <c r="A68" s="470"/>
      <c r="B68" s="473"/>
      <c r="C68" s="290" t="s">
        <v>731</v>
      </c>
      <c r="D68" s="295">
        <f t="shared" si="7"/>
        <v>2.5</v>
      </c>
      <c r="E68" s="295"/>
      <c r="F68" s="295">
        <v>2.5</v>
      </c>
      <c r="G68" s="295"/>
      <c r="H68" s="295"/>
      <c r="I68" s="65"/>
      <c r="J68" s="295"/>
      <c r="K68" s="295"/>
    </row>
    <row r="69" spans="1:11" ht="13.5" customHeight="1">
      <c r="A69" s="280" t="s">
        <v>666</v>
      </c>
      <c r="B69" s="277" t="s">
        <v>751</v>
      </c>
      <c r="C69" s="273" t="s">
        <v>731</v>
      </c>
      <c r="D69" s="293">
        <f t="shared" si="7"/>
        <v>13.1</v>
      </c>
      <c r="E69" s="293">
        <f>E71+E73+E75</f>
        <v>0</v>
      </c>
      <c r="F69" s="293">
        <v>13.1</v>
      </c>
      <c r="G69" s="293">
        <f>G71+G73+G75</f>
        <v>0</v>
      </c>
      <c r="H69" s="293">
        <f>H71+H73+H75</f>
        <v>0</v>
      </c>
      <c r="I69" s="293">
        <v>0</v>
      </c>
      <c r="J69" s="293">
        <f>J71+J73+J75</f>
        <v>0</v>
      </c>
      <c r="K69" s="293">
        <f>K71+K73+K75</f>
        <v>0</v>
      </c>
    </row>
    <row r="70" spans="1:11" ht="13.5" customHeight="1">
      <c r="A70" s="470" t="s">
        <v>667</v>
      </c>
      <c r="B70" s="473" t="s">
        <v>752</v>
      </c>
      <c r="C70" s="290" t="s">
        <v>419</v>
      </c>
      <c r="D70" s="293">
        <f t="shared" si="7"/>
        <v>0</v>
      </c>
      <c r="E70" s="293"/>
      <c r="F70" s="293"/>
      <c r="G70" s="293"/>
      <c r="H70" s="293"/>
      <c r="I70" s="65"/>
      <c r="J70" s="293"/>
      <c r="K70" s="293"/>
    </row>
    <row r="71" spans="1:11" ht="13.5" customHeight="1">
      <c r="A71" s="470"/>
      <c r="B71" s="473"/>
      <c r="C71" s="290" t="s">
        <v>731</v>
      </c>
      <c r="D71" s="293">
        <f t="shared" si="7"/>
        <v>0</v>
      </c>
      <c r="E71" s="293"/>
      <c r="F71" s="293"/>
      <c r="G71" s="293"/>
      <c r="H71" s="293"/>
      <c r="I71" s="65"/>
      <c r="J71" s="293"/>
      <c r="K71" s="293"/>
    </row>
    <row r="72" spans="1:11" ht="13.5" customHeight="1">
      <c r="A72" s="470" t="s">
        <v>668</v>
      </c>
      <c r="B72" s="473" t="s">
        <v>753</v>
      </c>
      <c r="C72" s="290" t="s">
        <v>419</v>
      </c>
      <c r="D72" s="293">
        <f t="shared" si="7"/>
        <v>0</v>
      </c>
      <c r="E72" s="293"/>
      <c r="F72" s="293"/>
      <c r="G72" s="293"/>
      <c r="H72" s="293"/>
      <c r="I72" s="65"/>
      <c r="J72" s="293"/>
      <c r="K72" s="293"/>
    </row>
    <row r="73" spans="1:11" ht="13.5" customHeight="1">
      <c r="A73" s="470"/>
      <c r="B73" s="473"/>
      <c r="C73" s="290" t="s">
        <v>731</v>
      </c>
      <c r="D73" s="293">
        <f t="shared" si="7"/>
        <v>0</v>
      </c>
      <c r="E73" s="293"/>
      <c r="F73" s="293"/>
      <c r="G73" s="293"/>
      <c r="H73" s="293"/>
      <c r="I73" s="65"/>
      <c r="J73" s="293"/>
      <c r="K73" s="293"/>
    </row>
    <row r="74" spans="1:11" ht="13.5" customHeight="1">
      <c r="A74" s="470" t="s">
        <v>669</v>
      </c>
      <c r="B74" s="473" t="s">
        <v>754</v>
      </c>
      <c r="C74" s="290" t="s">
        <v>627</v>
      </c>
      <c r="D74" s="293">
        <f t="shared" si="7"/>
        <v>5.3</v>
      </c>
      <c r="E74" s="293"/>
      <c r="F74" s="293">
        <v>5.3</v>
      </c>
      <c r="G74" s="293"/>
      <c r="H74" s="293"/>
      <c r="I74" s="65"/>
      <c r="J74" s="293"/>
      <c r="K74" s="293"/>
    </row>
    <row r="75" spans="1:11" ht="13.5" customHeight="1">
      <c r="A75" s="470"/>
      <c r="B75" s="473"/>
      <c r="C75" s="290" t="s">
        <v>731</v>
      </c>
      <c r="D75" s="293">
        <f t="shared" si="7"/>
        <v>14.1</v>
      </c>
      <c r="E75" s="293"/>
      <c r="F75" s="293">
        <v>14.1</v>
      </c>
      <c r="G75" s="293"/>
      <c r="H75" s="293"/>
      <c r="I75" s="65"/>
      <c r="J75" s="293"/>
      <c r="K75" s="293"/>
    </row>
    <row r="76" spans="1:11" ht="13.5" customHeight="1">
      <c r="A76" s="280" t="s">
        <v>670</v>
      </c>
      <c r="B76" s="277" t="s">
        <v>755</v>
      </c>
      <c r="C76" s="273" t="s">
        <v>731</v>
      </c>
      <c r="D76" s="293">
        <f t="shared" si="7"/>
        <v>33</v>
      </c>
      <c r="E76" s="293">
        <f>E78+E80+E82+E84+E86+E88+E90</f>
        <v>0</v>
      </c>
      <c r="F76" s="293">
        <f aca="true" t="shared" si="10" ref="F76:K76">F78+F80+F82+F84+F86+F88+F90</f>
        <v>6</v>
      </c>
      <c r="G76" s="293">
        <f t="shared" si="10"/>
        <v>27</v>
      </c>
      <c r="H76" s="293">
        <f t="shared" si="10"/>
        <v>0</v>
      </c>
      <c r="I76" s="293">
        <f t="shared" si="10"/>
        <v>0</v>
      </c>
      <c r="J76" s="293">
        <f t="shared" si="10"/>
        <v>0</v>
      </c>
      <c r="K76" s="293">
        <f t="shared" si="10"/>
        <v>0</v>
      </c>
    </row>
    <row r="77" spans="1:11" ht="13.5" customHeight="1">
      <c r="A77" s="470" t="s">
        <v>671</v>
      </c>
      <c r="B77" s="473" t="s">
        <v>756</v>
      </c>
      <c r="C77" s="290" t="s">
        <v>419</v>
      </c>
      <c r="D77" s="295">
        <f t="shared" si="7"/>
        <v>0</v>
      </c>
      <c r="E77" s="295"/>
      <c r="F77" s="295"/>
      <c r="G77" s="295"/>
      <c r="H77" s="295"/>
      <c r="I77" s="295"/>
      <c r="J77" s="295"/>
      <c r="K77" s="295"/>
    </row>
    <row r="78" spans="1:11" ht="13.5" customHeight="1">
      <c r="A78" s="470"/>
      <c r="B78" s="473"/>
      <c r="C78" s="290" t="s">
        <v>731</v>
      </c>
      <c r="D78" s="295">
        <f t="shared" si="7"/>
        <v>0</v>
      </c>
      <c r="E78" s="295"/>
      <c r="F78" s="295"/>
      <c r="G78" s="295"/>
      <c r="H78" s="295"/>
      <c r="I78" s="295"/>
      <c r="J78" s="295"/>
      <c r="K78" s="295"/>
    </row>
    <row r="79" spans="1:11" ht="13.5" customHeight="1">
      <c r="A79" s="470" t="s">
        <v>672</v>
      </c>
      <c r="B79" s="473" t="s">
        <v>757</v>
      </c>
      <c r="C79" s="290" t="s">
        <v>419</v>
      </c>
      <c r="D79" s="295">
        <f t="shared" si="7"/>
        <v>0</v>
      </c>
      <c r="E79" s="295"/>
      <c r="F79" s="295"/>
      <c r="G79" s="295"/>
      <c r="H79" s="295"/>
      <c r="I79" s="295"/>
      <c r="J79" s="295"/>
      <c r="K79" s="295"/>
    </row>
    <row r="80" spans="1:11" ht="13.5" customHeight="1">
      <c r="A80" s="470"/>
      <c r="B80" s="473"/>
      <c r="C80" s="290" t="s">
        <v>731</v>
      </c>
      <c r="D80" s="295">
        <f t="shared" si="7"/>
        <v>0</v>
      </c>
      <c r="E80" s="295"/>
      <c r="F80" s="295"/>
      <c r="G80" s="295"/>
      <c r="H80" s="295"/>
      <c r="I80" s="295"/>
      <c r="J80" s="295"/>
      <c r="K80" s="295"/>
    </row>
    <row r="81" spans="1:11" ht="13.5" customHeight="1">
      <c r="A81" s="470" t="s">
        <v>673</v>
      </c>
      <c r="B81" s="473" t="s">
        <v>758</v>
      </c>
      <c r="C81" s="290" t="s">
        <v>419</v>
      </c>
      <c r="D81" s="295">
        <f t="shared" si="7"/>
        <v>0</v>
      </c>
      <c r="E81" s="295"/>
      <c r="F81" s="295"/>
      <c r="G81" s="295"/>
      <c r="H81" s="295"/>
      <c r="I81" s="295"/>
      <c r="J81" s="295"/>
      <c r="K81" s="295"/>
    </row>
    <row r="82" spans="1:11" ht="13.5" customHeight="1">
      <c r="A82" s="470"/>
      <c r="B82" s="473"/>
      <c r="C82" s="290" t="s">
        <v>731</v>
      </c>
      <c r="D82" s="295">
        <f t="shared" si="7"/>
        <v>0</v>
      </c>
      <c r="E82" s="295"/>
      <c r="F82" s="295"/>
      <c r="G82" s="295"/>
      <c r="H82" s="295"/>
      <c r="I82" s="295"/>
      <c r="J82" s="295"/>
      <c r="K82" s="295"/>
    </row>
    <row r="83" spans="1:11" ht="13.5" customHeight="1">
      <c r="A83" s="470" t="s">
        <v>821</v>
      </c>
      <c r="B83" s="473" t="s">
        <v>759</v>
      </c>
      <c r="C83" s="290" t="s">
        <v>419</v>
      </c>
      <c r="D83" s="295">
        <f t="shared" si="7"/>
        <v>0</v>
      </c>
      <c r="E83" s="295"/>
      <c r="F83" s="295"/>
      <c r="G83" s="295"/>
      <c r="H83" s="295"/>
      <c r="I83" s="295"/>
      <c r="J83" s="295"/>
      <c r="K83" s="295"/>
    </row>
    <row r="84" spans="1:11" ht="13.5" customHeight="1">
      <c r="A84" s="470"/>
      <c r="B84" s="473"/>
      <c r="C84" s="290" t="s">
        <v>731</v>
      </c>
      <c r="D84" s="295">
        <f t="shared" si="7"/>
        <v>0</v>
      </c>
      <c r="E84" s="295"/>
      <c r="F84" s="295"/>
      <c r="G84" s="295"/>
      <c r="H84" s="295"/>
      <c r="I84" s="295"/>
      <c r="J84" s="295"/>
      <c r="K84" s="295"/>
    </row>
    <row r="85" spans="1:11" ht="13.5" customHeight="1">
      <c r="A85" s="470" t="s">
        <v>822</v>
      </c>
      <c r="B85" s="473" t="s">
        <v>760</v>
      </c>
      <c r="C85" s="290" t="s">
        <v>419</v>
      </c>
      <c r="D85" s="295">
        <f t="shared" si="7"/>
        <v>0</v>
      </c>
      <c r="E85" s="295"/>
      <c r="F85" s="295"/>
      <c r="G85" s="295"/>
      <c r="H85" s="295"/>
      <c r="I85" s="295"/>
      <c r="J85" s="295"/>
      <c r="K85" s="295"/>
    </row>
    <row r="86" spans="1:11" ht="13.5" customHeight="1">
      <c r="A86" s="470"/>
      <c r="B86" s="473"/>
      <c r="C86" s="290" t="s">
        <v>731</v>
      </c>
      <c r="D86" s="295">
        <f t="shared" si="7"/>
        <v>0</v>
      </c>
      <c r="E86" s="295"/>
      <c r="F86" s="295"/>
      <c r="G86" s="295"/>
      <c r="H86" s="295"/>
      <c r="I86" s="295"/>
      <c r="J86" s="295"/>
      <c r="K86" s="295"/>
    </row>
    <row r="87" spans="1:11" ht="13.5" customHeight="1">
      <c r="A87" s="470" t="s">
        <v>823</v>
      </c>
      <c r="B87" s="473" t="s">
        <v>761</v>
      </c>
      <c r="C87" s="290" t="s">
        <v>627</v>
      </c>
      <c r="D87" s="295">
        <f t="shared" si="7"/>
        <v>3.3000000000000003</v>
      </c>
      <c r="E87" s="295"/>
      <c r="F87" s="295">
        <v>0.6</v>
      </c>
      <c r="G87" s="295">
        <v>2.7</v>
      </c>
      <c r="H87" s="295"/>
      <c r="I87" s="295"/>
      <c r="J87" s="295"/>
      <c r="K87" s="295"/>
    </row>
    <row r="88" spans="1:11" ht="13.5" customHeight="1">
      <c r="A88" s="470"/>
      <c r="B88" s="473"/>
      <c r="C88" s="290" t="s">
        <v>731</v>
      </c>
      <c r="D88" s="295">
        <f t="shared" si="7"/>
        <v>33</v>
      </c>
      <c r="E88" s="295"/>
      <c r="F88" s="295">
        <v>6</v>
      </c>
      <c r="G88" s="295">
        <v>27</v>
      </c>
      <c r="H88" s="295"/>
      <c r="I88" s="295"/>
      <c r="J88" s="295"/>
      <c r="K88" s="295"/>
    </row>
    <row r="89" spans="1:11" ht="13.5" customHeight="1">
      <c r="A89" s="470" t="s">
        <v>824</v>
      </c>
      <c r="B89" s="473" t="s">
        <v>762</v>
      </c>
      <c r="C89" s="290" t="s">
        <v>617</v>
      </c>
      <c r="D89" s="295">
        <f t="shared" si="7"/>
        <v>0</v>
      </c>
      <c r="E89" s="295"/>
      <c r="F89" s="295"/>
      <c r="G89" s="295"/>
      <c r="H89" s="295"/>
      <c r="I89" s="295"/>
      <c r="J89" s="295"/>
      <c r="K89" s="295"/>
    </row>
    <row r="90" spans="1:11" ht="13.5" customHeight="1">
      <c r="A90" s="470"/>
      <c r="B90" s="473"/>
      <c r="C90" s="290" t="s">
        <v>731</v>
      </c>
      <c r="D90" s="295">
        <f t="shared" si="7"/>
        <v>0</v>
      </c>
      <c r="E90" s="295"/>
      <c r="F90" s="295"/>
      <c r="G90" s="295"/>
      <c r="H90" s="295"/>
      <c r="I90" s="295"/>
      <c r="J90" s="295"/>
      <c r="K90" s="295"/>
    </row>
    <row r="91" spans="1:11" ht="28.5" customHeight="1">
      <c r="A91" s="258">
        <v>3</v>
      </c>
      <c r="B91" s="264" t="s">
        <v>820</v>
      </c>
      <c r="C91" s="258" t="s">
        <v>704</v>
      </c>
      <c r="D91" s="294">
        <f>SUM(E91:K91)</f>
        <v>55</v>
      </c>
      <c r="E91" s="294">
        <f aca="true" t="shared" si="11" ref="E91:K91">E92+E94+E95+E104+E111+E118</f>
        <v>0</v>
      </c>
      <c r="F91" s="294">
        <f t="shared" si="11"/>
        <v>0</v>
      </c>
      <c r="G91" s="294">
        <f t="shared" si="11"/>
        <v>20</v>
      </c>
      <c r="H91" s="294">
        <f t="shared" si="11"/>
        <v>20</v>
      </c>
      <c r="I91" s="294">
        <f t="shared" si="11"/>
        <v>15</v>
      </c>
      <c r="J91" s="294">
        <f t="shared" si="11"/>
        <v>0</v>
      </c>
      <c r="K91" s="294">
        <f t="shared" si="11"/>
        <v>0</v>
      </c>
    </row>
    <row r="92" spans="1:11" ht="13.5" customHeight="1">
      <c r="A92" s="280" t="s">
        <v>678</v>
      </c>
      <c r="B92" s="277" t="s">
        <v>739</v>
      </c>
      <c r="C92" s="273" t="s">
        <v>704</v>
      </c>
      <c r="D92" s="293">
        <f aca="true" t="shared" si="12" ref="D92:D132">SUM(E92:K92)</f>
        <v>10</v>
      </c>
      <c r="E92" s="293"/>
      <c r="F92" s="293"/>
      <c r="G92" s="293">
        <v>10</v>
      </c>
      <c r="H92" s="293"/>
      <c r="I92" s="293"/>
      <c r="J92" s="293"/>
      <c r="K92" s="293"/>
    </row>
    <row r="93" spans="1:11" ht="13.5" customHeight="1">
      <c r="A93" s="450" t="s">
        <v>679</v>
      </c>
      <c r="B93" s="457" t="s">
        <v>740</v>
      </c>
      <c r="C93" s="273" t="s">
        <v>627</v>
      </c>
      <c r="D93" s="293">
        <f t="shared" si="12"/>
        <v>0</v>
      </c>
      <c r="E93" s="293"/>
      <c r="F93" s="293"/>
      <c r="G93" s="293"/>
      <c r="H93" s="293"/>
      <c r="I93" s="293"/>
      <c r="J93" s="293"/>
      <c r="K93" s="293"/>
    </row>
    <row r="94" spans="1:11" ht="13.5" customHeight="1">
      <c r="A94" s="450"/>
      <c r="B94" s="457"/>
      <c r="C94" s="273" t="s">
        <v>704</v>
      </c>
      <c r="D94" s="293">
        <f t="shared" si="12"/>
        <v>0</v>
      </c>
      <c r="E94" s="293"/>
      <c r="F94" s="293"/>
      <c r="G94" s="293"/>
      <c r="H94" s="293"/>
      <c r="I94" s="293"/>
      <c r="J94" s="293"/>
      <c r="K94" s="293"/>
    </row>
    <row r="95" spans="1:11" ht="13.5" customHeight="1">
      <c r="A95" s="280" t="s">
        <v>698</v>
      </c>
      <c r="B95" s="277" t="s">
        <v>741</v>
      </c>
      <c r="C95" s="273" t="s">
        <v>704</v>
      </c>
      <c r="D95" s="293">
        <f t="shared" si="12"/>
        <v>7.5</v>
      </c>
      <c r="E95" s="293">
        <f>E97+E99+E101+E103</f>
        <v>0</v>
      </c>
      <c r="F95" s="293">
        <f aca="true" t="shared" si="13" ref="F95:K95">F97+F99+F101+F103</f>
        <v>0</v>
      </c>
      <c r="G95" s="293">
        <f t="shared" si="13"/>
        <v>0</v>
      </c>
      <c r="H95" s="293">
        <f t="shared" si="13"/>
        <v>7.5</v>
      </c>
      <c r="I95" s="293">
        <f t="shared" si="13"/>
        <v>0</v>
      </c>
      <c r="J95" s="293">
        <f t="shared" si="13"/>
        <v>0</v>
      </c>
      <c r="K95" s="293">
        <f t="shared" si="13"/>
        <v>0</v>
      </c>
    </row>
    <row r="96" spans="1:11" ht="13.5" customHeight="1">
      <c r="A96" s="470" t="s">
        <v>825</v>
      </c>
      <c r="B96" s="473" t="s">
        <v>742</v>
      </c>
      <c r="C96" s="290" t="s">
        <v>717</v>
      </c>
      <c r="D96" s="295">
        <f t="shared" si="12"/>
        <v>1</v>
      </c>
      <c r="E96" s="295"/>
      <c r="F96" s="295"/>
      <c r="G96" s="295"/>
      <c r="H96" s="295">
        <v>1</v>
      </c>
      <c r="I96" s="295"/>
      <c r="J96" s="295"/>
      <c r="K96" s="295"/>
    </row>
    <row r="97" spans="1:11" ht="13.5" customHeight="1">
      <c r="A97" s="470"/>
      <c r="B97" s="473"/>
      <c r="C97" s="290" t="s">
        <v>743</v>
      </c>
      <c r="D97" s="295">
        <f t="shared" si="12"/>
        <v>1.1</v>
      </c>
      <c r="E97" s="295"/>
      <c r="F97" s="295"/>
      <c r="G97" s="295"/>
      <c r="H97" s="295">
        <v>1.1</v>
      </c>
      <c r="I97" s="295"/>
      <c r="J97" s="295"/>
      <c r="K97" s="295"/>
    </row>
    <row r="98" spans="1:11" ht="13.5" customHeight="1">
      <c r="A98" s="470" t="s">
        <v>826</v>
      </c>
      <c r="B98" s="473" t="s">
        <v>744</v>
      </c>
      <c r="C98" s="290" t="s">
        <v>627</v>
      </c>
      <c r="D98" s="295">
        <f t="shared" si="12"/>
        <v>0.3</v>
      </c>
      <c r="E98" s="295"/>
      <c r="F98" s="295"/>
      <c r="G98" s="295"/>
      <c r="H98" s="295">
        <v>0.3</v>
      </c>
      <c r="I98" s="295"/>
      <c r="J98" s="295"/>
      <c r="K98" s="295"/>
    </row>
    <row r="99" spans="1:11" ht="13.5" customHeight="1">
      <c r="A99" s="470"/>
      <c r="B99" s="473"/>
      <c r="C99" s="290" t="s">
        <v>731</v>
      </c>
      <c r="D99" s="295">
        <f t="shared" si="12"/>
        <v>0.6</v>
      </c>
      <c r="E99" s="295"/>
      <c r="F99" s="295"/>
      <c r="G99" s="295"/>
      <c r="H99" s="295">
        <v>0.6</v>
      </c>
      <c r="I99" s="295"/>
      <c r="J99" s="295"/>
      <c r="K99" s="295"/>
    </row>
    <row r="100" spans="1:11" ht="13.5" customHeight="1">
      <c r="A100" s="470" t="s">
        <v>827</v>
      </c>
      <c r="B100" s="473" t="s">
        <v>745</v>
      </c>
      <c r="C100" s="290" t="s">
        <v>627</v>
      </c>
      <c r="D100" s="295">
        <f t="shared" si="12"/>
        <v>1.4</v>
      </c>
      <c r="E100" s="295"/>
      <c r="F100" s="295"/>
      <c r="G100" s="295"/>
      <c r="H100" s="295">
        <v>1.4</v>
      </c>
      <c r="I100" s="295"/>
      <c r="J100" s="295"/>
      <c r="K100" s="295"/>
    </row>
    <row r="101" spans="1:11" ht="13.5" customHeight="1">
      <c r="A101" s="470"/>
      <c r="B101" s="473"/>
      <c r="C101" s="290" t="s">
        <v>731</v>
      </c>
      <c r="D101" s="295">
        <f t="shared" si="12"/>
        <v>2.8</v>
      </c>
      <c r="E101" s="295"/>
      <c r="F101" s="295"/>
      <c r="G101" s="295"/>
      <c r="H101" s="295">
        <v>2.8</v>
      </c>
      <c r="I101" s="295"/>
      <c r="J101" s="295"/>
      <c r="K101" s="295"/>
    </row>
    <row r="102" spans="1:11" ht="13.5" customHeight="1">
      <c r="A102" s="470" t="s">
        <v>828</v>
      </c>
      <c r="B102" s="473" t="s">
        <v>746</v>
      </c>
      <c r="C102" s="290" t="s">
        <v>627</v>
      </c>
      <c r="D102" s="295">
        <f t="shared" si="12"/>
        <v>1.4</v>
      </c>
      <c r="E102" s="295"/>
      <c r="F102" s="295"/>
      <c r="G102" s="295"/>
      <c r="H102" s="295">
        <v>1.4</v>
      </c>
      <c r="I102" s="295"/>
      <c r="J102" s="295"/>
      <c r="K102" s="295"/>
    </row>
    <row r="103" spans="1:11" ht="13.5" customHeight="1">
      <c r="A103" s="470"/>
      <c r="B103" s="473"/>
      <c r="C103" s="290" t="s">
        <v>731</v>
      </c>
      <c r="D103" s="295">
        <f t="shared" si="12"/>
        <v>3</v>
      </c>
      <c r="E103" s="295"/>
      <c r="F103" s="295"/>
      <c r="G103" s="295"/>
      <c r="H103" s="295">
        <v>3</v>
      </c>
      <c r="I103" s="295"/>
      <c r="J103" s="295"/>
      <c r="K103" s="295"/>
    </row>
    <row r="104" spans="1:11" ht="13.5" customHeight="1">
      <c r="A104" s="280" t="s">
        <v>727</v>
      </c>
      <c r="B104" s="277" t="s">
        <v>747</v>
      </c>
      <c r="C104" s="273" t="s">
        <v>731</v>
      </c>
      <c r="D104" s="293">
        <f t="shared" si="12"/>
        <v>3.0999999999999996</v>
      </c>
      <c r="E104" s="293">
        <f>E106+E108+E110</f>
        <v>0</v>
      </c>
      <c r="F104" s="293">
        <f aca="true" t="shared" si="14" ref="F104:K104">F106+F108+F110</f>
        <v>0</v>
      </c>
      <c r="G104" s="293">
        <f t="shared" si="14"/>
        <v>0</v>
      </c>
      <c r="H104" s="293">
        <f t="shared" si="14"/>
        <v>3.0999999999999996</v>
      </c>
      <c r="I104" s="293">
        <f t="shared" si="14"/>
        <v>0</v>
      </c>
      <c r="J104" s="293">
        <f t="shared" si="14"/>
        <v>0</v>
      </c>
      <c r="K104" s="293">
        <f t="shared" si="14"/>
        <v>0</v>
      </c>
    </row>
    <row r="105" spans="1:11" ht="13.5" customHeight="1">
      <c r="A105" s="470" t="s">
        <v>829</v>
      </c>
      <c r="B105" s="473" t="s">
        <v>748</v>
      </c>
      <c r="C105" s="290" t="s">
        <v>627</v>
      </c>
      <c r="D105" s="295">
        <f t="shared" si="12"/>
        <v>3</v>
      </c>
      <c r="E105" s="295"/>
      <c r="F105" s="295"/>
      <c r="G105" s="295"/>
      <c r="H105" s="295">
        <v>3</v>
      </c>
      <c r="I105" s="295"/>
      <c r="J105" s="295"/>
      <c r="K105" s="295"/>
    </row>
    <row r="106" spans="1:11" ht="13.5" customHeight="1">
      <c r="A106" s="470"/>
      <c r="B106" s="473"/>
      <c r="C106" s="290" t="s">
        <v>731</v>
      </c>
      <c r="D106" s="295">
        <f t="shared" si="12"/>
        <v>2.1</v>
      </c>
      <c r="E106" s="295"/>
      <c r="F106" s="295"/>
      <c r="G106" s="295"/>
      <c r="H106" s="295">
        <v>2.1</v>
      </c>
      <c r="I106" s="295"/>
      <c r="J106" s="295"/>
      <c r="K106" s="295"/>
    </row>
    <row r="107" spans="1:11" ht="13.5" customHeight="1">
      <c r="A107" s="470" t="s">
        <v>830</v>
      </c>
      <c r="B107" s="473" t="s">
        <v>749</v>
      </c>
      <c r="C107" s="290" t="s">
        <v>419</v>
      </c>
      <c r="D107" s="295">
        <f t="shared" si="12"/>
        <v>1</v>
      </c>
      <c r="E107" s="295"/>
      <c r="F107" s="295"/>
      <c r="G107" s="295"/>
      <c r="H107" s="295">
        <v>1</v>
      </c>
      <c r="I107" s="295"/>
      <c r="J107" s="295"/>
      <c r="K107" s="295"/>
    </row>
    <row r="108" spans="1:11" ht="13.5" customHeight="1">
      <c r="A108" s="470"/>
      <c r="B108" s="473"/>
      <c r="C108" s="290" t="s">
        <v>731</v>
      </c>
      <c r="D108" s="295">
        <f t="shared" si="12"/>
        <v>0.3</v>
      </c>
      <c r="E108" s="295"/>
      <c r="F108" s="295"/>
      <c r="G108" s="295"/>
      <c r="H108" s="295">
        <v>0.3</v>
      </c>
      <c r="I108" s="295"/>
      <c r="J108" s="295"/>
      <c r="K108" s="295"/>
    </row>
    <row r="109" spans="1:11" ht="13.5" customHeight="1">
      <c r="A109" s="470" t="s">
        <v>831</v>
      </c>
      <c r="B109" s="473" t="s">
        <v>750</v>
      </c>
      <c r="C109" s="290" t="s">
        <v>627</v>
      </c>
      <c r="D109" s="295">
        <f t="shared" si="12"/>
        <v>1.4</v>
      </c>
      <c r="E109" s="295"/>
      <c r="F109" s="295"/>
      <c r="G109" s="295"/>
      <c r="H109" s="295">
        <v>1.4</v>
      </c>
      <c r="I109" s="295"/>
      <c r="J109" s="295"/>
      <c r="K109" s="295"/>
    </row>
    <row r="110" spans="1:11" ht="13.5" customHeight="1">
      <c r="A110" s="470"/>
      <c r="B110" s="473"/>
      <c r="C110" s="290" t="s">
        <v>731</v>
      </c>
      <c r="D110" s="295">
        <f t="shared" si="12"/>
        <v>0.7</v>
      </c>
      <c r="E110" s="295"/>
      <c r="F110" s="295"/>
      <c r="G110" s="295"/>
      <c r="H110" s="295">
        <v>0.7</v>
      </c>
      <c r="I110" s="295"/>
      <c r="J110" s="295"/>
      <c r="K110" s="295"/>
    </row>
    <row r="111" spans="1:11" ht="13.5" customHeight="1">
      <c r="A111" s="280" t="s">
        <v>832</v>
      </c>
      <c r="B111" s="277" t="s">
        <v>751</v>
      </c>
      <c r="C111" s="273" t="s">
        <v>731</v>
      </c>
      <c r="D111" s="293">
        <f t="shared" si="12"/>
        <v>9.4</v>
      </c>
      <c r="E111" s="293">
        <f>E113+E115+E117</f>
        <v>0</v>
      </c>
      <c r="F111" s="293">
        <f aca="true" t="shared" si="15" ref="F111:K111">F113+F115+F117</f>
        <v>0</v>
      </c>
      <c r="G111" s="293">
        <f t="shared" si="15"/>
        <v>0</v>
      </c>
      <c r="H111" s="293">
        <f t="shared" si="15"/>
        <v>9.4</v>
      </c>
      <c r="I111" s="293">
        <f t="shared" si="15"/>
        <v>0</v>
      </c>
      <c r="J111" s="293">
        <f t="shared" si="15"/>
        <v>0</v>
      </c>
      <c r="K111" s="293">
        <f t="shared" si="15"/>
        <v>0</v>
      </c>
    </row>
    <row r="112" spans="1:11" ht="13.5" customHeight="1">
      <c r="A112" s="470" t="s">
        <v>833</v>
      </c>
      <c r="B112" s="473" t="s">
        <v>752</v>
      </c>
      <c r="C112" s="290" t="s">
        <v>419</v>
      </c>
      <c r="D112" s="293">
        <f t="shared" si="12"/>
        <v>1</v>
      </c>
      <c r="E112" s="293"/>
      <c r="F112" s="293"/>
      <c r="G112" s="293"/>
      <c r="H112" s="293">
        <v>1</v>
      </c>
      <c r="I112" s="293"/>
      <c r="J112" s="293"/>
      <c r="K112" s="293"/>
    </row>
    <row r="113" spans="1:11" ht="13.5" customHeight="1">
      <c r="A113" s="470"/>
      <c r="B113" s="473"/>
      <c r="C113" s="290" t="s">
        <v>731</v>
      </c>
      <c r="D113" s="293">
        <f t="shared" si="12"/>
        <v>3</v>
      </c>
      <c r="E113" s="293"/>
      <c r="F113" s="293"/>
      <c r="G113" s="293"/>
      <c r="H113" s="293">
        <v>3</v>
      </c>
      <c r="I113" s="293"/>
      <c r="J113" s="293"/>
      <c r="K113" s="293"/>
    </row>
    <row r="114" spans="1:11" ht="13.5" customHeight="1">
      <c r="A114" s="470" t="s">
        <v>834</v>
      </c>
      <c r="B114" s="473" t="s">
        <v>753</v>
      </c>
      <c r="C114" s="290" t="s">
        <v>419</v>
      </c>
      <c r="D114" s="293">
        <f t="shared" si="12"/>
        <v>1</v>
      </c>
      <c r="E114" s="293"/>
      <c r="F114" s="293"/>
      <c r="G114" s="293"/>
      <c r="H114" s="293">
        <v>1</v>
      </c>
      <c r="I114" s="293"/>
      <c r="J114" s="293"/>
      <c r="K114" s="293"/>
    </row>
    <row r="115" spans="1:11" ht="13.5" customHeight="1">
      <c r="A115" s="470"/>
      <c r="B115" s="473"/>
      <c r="C115" s="290" t="s">
        <v>731</v>
      </c>
      <c r="D115" s="293">
        <f t="shared" si="12"/>
        <v>1</v>
      </c>
      <c r="E115" s="293"/>
      <c r="F115" s="293"/>
      <c r="G115" s="293"/>
      <c r="H115" s="293">
        <v>1</v>
      </c>
      <c r="I115" s="293"/>
      <c r="J115" s="293"/>
      <c r="K115" s="293"/>
    </row>
    <row r="116" spans="1:11" ht="13.5" customHeight="1">
      <c r="A116" s="470" t="s">
        <v>835</v>
      </c>
      <c r="B116" s="473" t="s">
        <v>754</v>
      </c>
      <c r="C116" s="290" t="s">
        <v>627</v>
      </c>
      <c r="D116" s="293">
        <f t="shared" si="12"/>
        <v>2</v>
      </c>
      <c r="E116" s="293"/>
      <c r="F116" s="293"/>
      <c r="G116" s="293"/>
      <c r="H116" s="293">
        <v>2</v>
      </c>
      <c r="I116" s="293"/>
      <c r="J116" s="293"/>
      <c r="K116" s="293"/>
    </row>
    <row r="117" spans="1:11" ht="13.5" customHeight="1">
      <c r="A117" s="470"/>
      <c r="B117" s="473"/>
      <c r="C117" s="290" t="s">
        <v>731</v>
      </c>
      <c r="D117" s="293">
        <f t="shared" si="12"/>
        <v>5.4</v>
      </c>
      <c r="E117" s="293"/>
      <c r="F117" s="293"/>
      <c r="G117" s="293"/>
      <c r="H117" s="293">
        <v>5.4</v>
      </c>
      <c r="I117" s="293"/>
      <c r="J117" s="293"/>
      <c r="K117" s="293"/>
    </row>
    <row r="118" spans="1:11" ht="13.5" customHeight="1">
      <c r="A118" s="280" t="s">
        <v>836</v>
      </c>
      <c r="B118" s="277" t="s">
        <v>755</v>
      </c>
      <c r="C118" s="273" t="s">
        <v>731</v>
      </c>
      <c r="D118" s="293">
        <f t="shared" si="12"/>
        <v>25</v>
      </c>
      <c r="E118" s="293">
        <f>E120+E122+E124+E126+E128+E130+E132</f>
        <v>0</v>
      </c>
      <c r="F118" s="293">
        <f aca="true" t="shared" si="16" ref="F118:K118">F120+F122+F124+F126+F128+F130+F132</f>
        <v>0</v>
      </c>
      <c r="G118" s="293">
        <f t="shared" si="16"/>
        <v>10</v>
      </c>
      <c r="H118" s="293">
        <f t="shared" si="16"/>
        <v>0</v>
      </c>
      <c r="I118" s="293">
        <f t="shared" si="16"/>
        <v>15</v>
      </c>
      <c r="J118" s="293">
        <f t="shared" si="16"/>
        <v>0</v>
      </c>
      <c r="K118" s="293">
        <f t="shared" si="16"/>
        <v>0</v>
      </c>
    </row>
    <row r="119" spans="1:11" ht="13.5" customHeight="1">
      <c r="A119" s="470" t="s">
        <v>837</v>
      </c>
      <c r="B119" s="473" t="s">
        <v>756</v>
      </c>
      <c r="C119" s="290" t="s">
        <v>419</v>
      </c>
      <c r="D119" s="295">
        <f t="shared" si="12"/>
        <v>0</v>
      </c>
      <c r="E119" s="295"/>
      <c r="F119" s="295"/>
      <c r="G119" s="295"/>
      <c r="H119" s="295"/>
      <c r="I119" s="295"/>
      <c r="J119" s="295"/>
      <c r="K119" s="295"/>
    </row>
    <row r="120" spans="1:11" ht="13.5" customHeight="1">
      <c r="A120" s="470"/>
      <c r="B120" s="473"/>
      <c r="C120" s="290" t="s">
        <v>731</v>
      </c>
      <c r="D120" s="295">
        <f t="shared" si="12"/>
        <v>0</v>
      </c>
      <c r="E120" s="295"/>
      <c r="F120" s="295"/>
      <c r="G120" s="295"/>
      <c r="H120" s="295"/>
      <c r="I120" s="295"/>
      <c r="J120" s="295"/>
      <c r="K120" s="295"/>
    </row>
    <row r="121" spans="1:11" ht="13.5" customHeight="1">
      <c r="A121" s="470" t="s">
        <v>838</v>
      </c>
      <c r="B121" s="473" t="s">
        <v>757</v>
      </c>
      <c r="C121" s="290" t="s">
        <v>419</v>
      </c>
      <c r="D121" s="295">
        <f t="shared" si="12"/>
        <v>0</v>
      </c>
      <c r="E121" s="295"/>
      <c r="F121" s="295"/>
      <c r="G121" s="295"/>
      <c r="H121" s="295"/>
      <c r="I121" s="295"/>
      <c r="J121" s="295"/>
      <c r="K121" s="295"/>
    </row>
    <row r="122" spans="1:11" ht="13.5" customHeight="1">
      <c r="A122" s="470"/>
      <c r="B122" s="473"/>
      <c r="C122" s="290" t="s">
        <v>731</v>
      </c>
      <c r="D122" s="295">
        <f t="shared" si="12"/>
        <v>0</v>
      </c>
      <c r="E122" s="295"/>
      <c r="F122" s="295"/>
      <c r="G122" s="295"/>
      <c r="H122" s="295"/>
      <c r="I122" s="295"/>
      <c r="J122" s="295"/>
      <c r="K122" s="295"/>
    </row>
    <row r="123" spans="1:11" ht="13.5" customHeight="1">
      <c r="A123" s="470" t="s">
        <v>839</v>
      </c>
      <c r="B123" s="473" t="s">
        <v>758</v>
      </c>
      <c r="C123" s="290" t="s">
        <v>419</v>
      </c>
      <c r="D123" s="295">
        <f t="shared" si="12"/>
        <v>0</v>
      </c>
      <c r="E123" s="295"/>
      <c r="F123" s="295"/>
      <c r="G123" s="295"/>
      <c r="H123" s="295"/>
      <c r="I123" s="295"/>
      <c r="J123" s="295"/>
      <c r="K123" s="295"/>
    </row>
    <row r="124" spans="1:11" ht="13.5" customHeight="1">
      <c r="A124" s="470"/>
      <c r="B124" s="473"/>
      <c r="C124" s="290" t="s">
        <v>731</v>
      </c>
      <c r="D124" s="295">
        <f t="shared" si="12"/>
        <v>0</v>
      </c>
      <c r="E124" s="295"/>
      <c r="F124" s="295"/>
      <c r="G124" s="295"/>
      <c r="H124" s="295"/>
      <c r="I124" s="295"/>
      <c r="J124" s="295"/>
      <c r="K124" s="295"/>
    </row>
    <row r="125" spans="1:11" ht="13.5" customHeight="1">
      <c r="A125" s="470" t="s">
        <v>840</v>
      </c>
      <c r="B125" s="473" t="s">
        <v>759</v>
      </c>
      <c r="C125" s="290" t="s">
        <v>419</v>
      </c>
      <c r="D125" s="295">
        <f t="shared" si="12"/>
        <v>0</v>
      </c>
      <c r="E125" s="295"/>
      <c r="F125" s="295"/>
      <c r="G125" s="295"/>
      <c r="H125" s="295"/>
      <c r="I125" s="295"/>
      <c r="J125" s="295"/>
      <c r="K125" s="295"/>
    </row>
    <row r="126" spans="1:11" ht="13.5" customHeight="1">
      <c r="A126" s="470"/>
      <c r="B126" s="473"/>
      <c r="C126" s="290" t="s">
        <v>731</v>
      </c>
      <c r="D126" s="295">
        <f t="shared" si="12"/>
        <v>0</v>
      </c>
      <c r="E126" s="295"/>
      <c r="F126" s="295"/>
      <c r="G126" s="295"/>
      <c r="H126" s="295"/>
      <c r="I126" s="295"/>
      <c r="J126" s="295"/>
      <c r="K126" s="295"/>
    </row>
    <row r="127" spans="1:11" ht="13.5" customHeight="1">
      <c r="A127" s="470" t="s">
        <v>841</v>
      </c>
      <c r="B127" s="473" t="s">
        <v>760</v>
      </c>
      <c r="C127" s="290" t="s">
        <v>419</v>
      </c>
      <c r="D127" s="295">
        <f t="shared" si="12"/>
        <v>0</v>
      </c>
      <c r="E127" s="295"/>
      <c r="F127" s="295"/>
      <c r="G127" s="295"/>
      <c r="H127" s="295"/>
      <c r="I127" s="295"/>
      <c r="J127" s="295"/>
      <c r="K127" s="295"/>
    </row>
    <row r="128" spans="1:11" ht="13.5" customHeight="1">
      <c r="A128" s="470"/>
      <c r="B128" s="473"/>
      <c r="C128" s="290" t="s">
        <v>731</v>
      </c>
      <c r="D128" s="295">
        <f t="shared" si="12"/>
        <v>0</v>
      </c>
      <c r="E128" s="295"/>
      <c r="F128" s="295"/>
      <c r="G128" s="295"/>
      <c r="H128" s="295"/>
      <c r="I128" s="295"/>
      <c r="J128" s="295"/>
      <c r="K128" s="295"/>
    </row>
    <row r="129" spans="1:11" ht="13.5" customHeight="1">
      <c r="A129" s="470" t="s">
        <v>842</v>
      </c>
      <c r="B129" s="473" t="s">
        <v>761</v>
      </c>
      <c r="C129" s="290" t="s">
        <v>627</v>
      </c>
      <c r="D129" s="295">
        <f t="shared" si="12"/>
        <v>2.5</v>
      </c>
      <c r="E129" s="295"/>
      <c r="F129" s="295"/>
      <c r="G129" s="295">
        <v>1</v>
      </c>
      <c r="H129" s="295"/>
      <c r="I129" s="295">
        <v>1.5</v>
      </c>
      <c r="J129" s="295"/>
      <c r="K129" s="295"/>
    </row>
    <row r="130" spans="1:11" ht="13.5" customHeight="1">
      <c r="A130" s="470"/>
      <c r="B130" s="473"/>
      <c r="C130" s="290" t="s">
        <v>731</v>
      </c>
      <c r="D130" s="295">
        <f t="shared" si="12"/>
        <v>25</v>
      </c>
      <c r="E130" s="295"/>
      <c r="F130" s="295"/>
      <c r="G130" s="295">
        <v>10</v>
      </c>
      <c r="H130" s="295"/>
      <c r="I130" s="295">
        <v>15</v>
      </c>
      <c r="J130" s="295"/>
      <c r="K130" s="295"/>
    </row>
    <row r="131" spans="1:11" ht="13.5" customHeight="1">
      <c r="A131" s="470" t="s">
        <v>843</v>
      </c>
      <c r="B131" s="473" t="s">
        <v>762</v>
      </c>
      <c r="C131" s="290" t="s">
        <v>617</v>
      </c>
      <c r="D131" s="295">
        <f t="shared" si="12"/>
        <v>0</v>
      </c>
      <c r="E131" s="295"/>
      <c r="F131" s="295"/>
      <c r="G131" s="295"/>
      <c r="H131" s="295"/>
      <c r="I131" s="295"/>
      <c r="J131" s="295"/>
      <c r="K131" s="295"/>
    </row>
    <row r="132" spans="1:11" ht="13.5" customHeight="1">
      <c r="A132" s="470"/>
      <c r="B132" s="473"/>
      <c r="C132" s="290" t="s">
        <v>731</v>
      </c>
      <c r="D132" s="295">
        <f t="shared" si="12"/>
        <v>0</v>
      </c>
      <c r="E132" s="295"/>
      <c r="F132" s="295"/>
      <c r="G132" s="295"/>
      <c r="H132" s="295"/>
      <c r="I132" s="295"/>
      <c r="J132" s="295"/>
      <c r="K132" s="295"/>
    </row>
  </sheetData>
  <sheetProtection/>
  <mergeCells count="113">
    <mergeCell ref="A127:A128"/>
    <mergeCell ref="B127:B128"/>
    <mergeCell ref="A129:A130"/>
    <mergeCell ref="B129:B130"/>
    <mergeCell ref="A131:A132"/>
    <mergeCell ref="B131:B132"/>
    <mergeCell ref="A121:A122"/>
    <mergeCell ref="B121:B122"/>
    <mergeCell ref="A123:A124"/>
    <mergeCell ref="B123:B124"/>
    <mergeCell ref="A125:A126"/>
    <mergeCell ref="B125:B126"/>
    <mergeCell ref="A114:A115"/>
    <mergeCell ref="B114:B115"/>
    <mergeCell ref="A116:A117"/>
    <mergeCell ref="B116:B117"/>
    <mergeCell ref="A119:A120"/>
    <mergeCell ref="B119:B120"/>
    <mergeCell ref="A107:A108"/>
    <mergeCell ref="B107:B108"/>
    <mergeCell ref="A109:A110"/>
    <mergeCell ref="B109:B110"/>
    <mergeCell ref="A112:A113"/>
    <mergeCell ref="B112:B113"/>
    <mergeCell ref="A100:A101"/>
    <mergeCell ref="B100:B101"/>
    <mergeCell ref="A102:A103"/>
    <mergeCell ref="B102:B103"/>
    <mergeCell ref="A105:A106"/>
    <mergeCell ref="B105:B106"/>
    <mergeCell ref="A93:A94"/>
    <mergeCell ref="B93:B94"/>
    <mergeCell ref="A96:A97"/>
    <mergeCell ref="B96:B97"/>
    <mergeCell ref="A98:A99"/>
    <mergeCell ref="B98:B99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2:A73"/>
    <mergeCell ref="B72:B73"/>
    <mergeCell ref="A74:A75"/>
    <mergeCell ref="B74:B75"/>
    <mergeCell ref="A77:A78"/>
    <mergeCell ref="B77:B78"/>
    <mergeCell ref="A65:A66"/>
    <mergeCell ref="B65:B66"/>
    <mergeCell ref="A67:A68"/>
    <mergeCell ref="B67:B68"/>
    <mergeCell ref="A70:A71"/>
    <mergeCell ref="B70:B71"/>
    <mergeCell ref="A58:A59"/>
    <mergeCell ref="B58:B59"/>
    <mergeCell ref="A60:A61"/>
    <mergeCell ref="B60:B61"/>
    <mergeCell ref="A63:A64"/>
    <mergeCell ref="B63:B64"/>
    <mergeCell ref="A54:A55"/>
    <mergeCell ref="B54:B55"/>
    <mergeCell ref="A56:A57"/>
    <mergeCell ref="B56:B57"/>
    <mergeCell ref="B4:B5"/>
    <mergeCell ref="D4:D5"/>
    <mergeCell ref="A4:A5"/>
    <mergeCell ref="A14:A15"/>
    <mergeCell ref="B14:B15"/>
    <mergeCell ref="A16:A17"/>
    <mergeCell ref="A2:K2"/>
    <mergeCell ref="A51:A52"/>
    <mergeCell ref="B51:B52"/>
    <mergeCell ref="E4:K4"/>
    <mergeCell ref="A23:A24"/>
    <mergeCell ref="B23:B24"/>
    <mergeCell ref="A9:A10"/>
    <mergeCell ref="B9:B10"/>
    <mergeCell ref="A12:A13"/>
    <mergeCell ref="B12:B13"/>
    <mergeCell ref="B16:B17"/>
    <mergeCell ref="A18:A19"/>
    <mergeCell ref="B18:B19"/>
    <mergeCell ref="A21:A22"/>
    <mergeCell ref="B21:B22"/>
    <mergeCell ref="A25:A26"/>
    <mergeCell ref="B25:B26"/>
    <mergeCell ref="A28:A29"/>
    <mergeCell ref="B28:B29"/>
    <mergeCell ref="A32:A33"/>
    <mergeCell ref="B32:B33"/>
    <mergeCell ref="A30:A31"/>
    <mergeCell ref="B30:B31"/>
    <mergeCell ref="A35:A36"/>
    <mergeCell ref="B35:B36"/>
    <mergeCell ref="A39:A40"/>
    <mergeCell ref="B39:B40"/>
    <mergeCell ref="A37:A38"/>
    <mergeCell ref="B37:B38"/>
    <mergeCell ref="A47:A48"/>
    <mergeCell ref="B47:B48"/>
    <mergeCell ref="A41:A42"/>
    <mergeCell ref="B41:B42"/>
    <mergeCell ref="A43:A44"/>
    <mergeCell ref="B43:B44"/>
    <mergeCell ref="A45:A46"/>
    <mergeCell ref="B45:B46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10"/>
  <sheetViews>
    <sheetView zoomScalePageLayoutView="0" workbookViewId="0" topLeftCell="A2">
      <pane xSplit="3" ySplit="5" topLeftCell="E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G7" sqref="G7"/>
    </sheetView>
  </sheetViews>
  <sheetFormatPr defaultColWidth="9.00390625" defaultRowHeight="12.75" outlineLevelRow="1"/>
  <cols>
    <col min="1" max="1" width="3.875" style="0" customWidth="1"/>
    <col min="2" max="2" width="67.375" style="0" customWidth="1"/>
    <col min="3" max="3" width="7.25390625" style="0" customWidth="1"/>
    <col min="4" max="11" width="7.75390625" style="0" customWidth="1"/>
  </cols>
  <sheetData>
    <row r="1" ht="12.75">
      <c r="J1" s="220" t="s">
        <v>799</v>
      </c>
    </row>
    <row r="2" spans="1:11" s="275" customFormat="1" ht="29.25" customHeight="1">
      <c r="A2" s="438" t="s">
        <v>800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27.75" customHeight="1">
      <c r="A4" s="429" t="s">
        <v>107</v>
      </c>
      <c r="B4" s="422" t="s">
        <v>763</v>
      </c>
      <c r="C4" s="429" t="s">
        <v>578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430"/>
      <c r="D5" s="422"/>
      <c r="E5" s="259">
        <v>2014</v>
      </c>
      <c r="F5" s="259">
        <v>2015</v>
      </c>
      <c r="G5" s="259">
        <v>2016</v>
      </c>
      <c r="H5" s="259">
        <v>2017</v>
      </c>
      <c r="I5" s="259">
        <v>2018</v>
      </c>
      <c r="J5" s="259">
        <v>2019</v>
      </c>
      <c r="K5" s="259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ht="19.5" customHeight="1">
      <c r="A7" s="277">
        <v>1</v>
      </c>
      <c r="B7" s="277" t="s">
        <v>997</v>
      </c>
      <c r="C7" s="273" t="s">
        <v>743</v>
      </c>
      <c r="D7" s="293">
        <f>SUM(E7:K7)</f>
        <v>0.000275</v>
      </c>
      <c r="E7" s="293"/>
      <c r="F7" s="293"/>
      <c r="G7" s="293">
        <f>(55*5)/1000000</f>
        <v>0.000275</v>
      </c>
      <c r="H7" s="293"/>
      <c r="I7" s="293"/>
      <c r="J7" s="293"/>
      <c r="K7" s="293"/>
    </row>
    <row r="8" spans="1:11" ht="12.75" hidden="1" outlineLevel="1">
      <c r="A8" s="277">
        <v>2</v>
      </c>
      <c r="B8" s="277"/>
      <c r="C8" s="273"/>
      <c r="D8" s="293">
        <f>SUM(E8:K8)</f>
        <v>0</v>
      </c>
      <c r="E8" s="293"/>
      <c r="F8" s="293"/>
      <c r="G8" s="293"/>
      <c r="H8" s="293"/>
      <c r="I8" s="293"/>
      <c r="J8" s="293"/>
      <c r="K8" s="293"/>
    </row>
    <row r="9" spans="1:11" ht="12.75" hidden="1" outlineLevel="1">
      <c r="A9" s="277">
        <v>3</v>
      </c>
      <c r="B9" s="277"/>
      <c r="C9" s="273"/>
      <c r="D9" s="293">
        <f>SUM(E9:K9)</f>
        <v>0</v>
      </c>
      <c r="E9" s="293"/>
      <c r="F9" s="293"/>
      <c r="G9" s="293"/>
      <c r="H9" s="293"/>
      <c r="I9" s="293"/>
      <c r="J9" s="293"/>
      <c r="K9" s="293"/>
    </row>
    <row r="10" spans="1:11" s="292" customFormat="1" ht="12.75" collapsed="1">
      <c r="A10" s="264"/>
      <c r="B10" s="264" t="s">
        <v>108</v>
      </c>
      <c r="C10" s="258"/>
      <c r="D10" s="294">
        <f>SUM(D7:D9)</f>
        <v>0.000275</v>
      </c>
      <c r="E10" s="294">
        <f aca="true" t="shared" si="0" ref="E10:K10">SUM(E7:E9)</f>
        <v>0</v>
      </c>
      <c r="F10" s="294">
        <f t="shared" si="0"/>
        <v>0</v>
      </c>
      <c r="G10" s="294">
        <f t="shared" si="0"/>
        <v>0.000275</v>
      </c>
      <c r="H10" s="294">
        <f t="shared" si="0"/>
        <v>0</v>
      </c>
      <c r="I10" s="294">
        <f t="shared" si="0"/>
        <v>0</v>
      </c>
      <c r="J10" s="294">
        <f t="shared" si="0"/>
        <v>0</v>
      </c>
      <c r="K10" s="294">
        <f t="shared" si="0"/>
        <v>0</v>
      </c>
    </row>
  </sheetData>
  <sheetProtection/>
  <mergeCells count="6">
    <mergeCell ref="B4:B5"/>
    <mergeCell ref="D4:D5"/>
    <mergeCell ref="E4:K4"/>
    <mergeCell ref="C4:C5"/>
    <mergeCell ref="A4:A5"/>
    <mergeCell ref="A2:K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11"/>
  <sheetViews>
    <sheetView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E13" sqref="E13"/>
    </sheetView>
  </sheetViews>
  <sheetFormatPr defaultColWidth="9.00390625" defaultRowHeight="12.75"/>
  <cols>
    <col min="1" max="1" width="4.25390625" style="270" customWidth="1"/>
    <col min="2" max="2" width="55.375" style="0" customWidth="1"/>
    <col min="4" max="11" width="8.75390625" style="0" customWidth="1"/>
  </cols>
  <sheetData>
    <row r="1" ht="12.75">
      <c r="J1" s="220" t="s">
        <v>801</v>
      </c>
    </row>
    <row r="2" spans="1:11" s="296" customFormat="1" ht="29.25" customHeight="1">
      <c r="A2" s="438" t="s">
        <v>802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5" customHeight="1">
      <c r="A4" s="429" t="s">
        <v>107</v>
      </c>
      <c r="B4" s="422" t="s">
        <v>738</v>
      </c>
      <c r="C4" s="429" t="s">
        <v>578</v>
      </c>
      <c r="D4" s="422" t="s">
        <v>189</v>
      </c>
      <c r="E4" s="422" t="s">
        <v>686</v>
      </c>
      <c r="F4" s="422"/>
      <c r="G4" s="422"/>
      <c r="H4" s="422"/>
      <c r="I4" s="422"/>
      <c r="J4" s="422"/>
      <c r="K4" s="422"/>
    </row>
    <row r="5" spans="1:11" ht="12.75">
      <c r="A5" s="430"/>
      <c r="B5" s="422"/>
      <c r="C5" s="430"/>
      <c r="D5" s="422"/>
      <c r="E5" s="258">
        <v>2014</v>
      </c>
      <c r="F5" s="258">
        <v>2015</v>
      </c>
      <c r="G5" s="258">
        <v>2016</v>
      </c>
      <c r="H5" s="258">
        <v>2017</v>
      </c>
      <c r="I5" s="258">
        <v>2018</v>
      </c>
      <c r="J5" s="258">
        <v>2019</v>
      </c>
      <c r="K5" s="258">
        <v>2020</v>
      </c>
    </row>
    <row r="6" spans="1:1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</row>
    <row r="7" spans="1:11" s="292" customFormat="1" ht="12.75" customHeight="1">
      <c r="A7" s="258">
        <v>1</v>
      </c>
      <c r="B7" s="277" t="s">
        <v>764</v>
      </c>
      <c r="C7" s="273" t="s">
        <v>704</v>
      </c>
      <c r="D7" s="293">
        <f>SUM(E7:K7)</f>
        <v>0.00077</v>
      </c>
      <c r="E7" s="293">
        <f>110/1000000</f>
        <v>0.00011</v>
      </c>
      <c r="F7" s="293">
        <f aca="true" t="shared" si="0" ref="F7:K7">110/1000000</f>
        <v>0.00011</v>
      </c>
      <c r="G7" s="293">
        <f t="shared" si="0"/>
        <v>0.00011</v>
      </c>
      <c r="H7" s="293">
        <f t="shared" si="0"/>
        <v>0.00011</v>
      </c>
      <c r="I7" s="293">
        <f t="shared" si="0"/>
        <v>0.00011</v>
      </c>
      <c r="J7" s="293">
        <f t="shared" si="0"/>
        <v>0.00011</v>
      </c>
      <c r="K7" s="293">
        <f t="shared" si="0"/>
        <v>0.00011</v>
      </c>
    </row>
    <row r="8" spans="1:11" s="292" customFormat="1" ht="12.75" customHeight="1">
      <c r="A8" s="258">
        <v>2</v>
      </c>
      <c r="B8" s="277" t="s">
        <v>765</v>
      </c>
      <c r="C8" s="273" t="s">
        <v>704</v>
      </c>
      <c r="D8" s="293">
        <f>SUM(E8:K8)</f>
        <v>0.00035000000000000005</v>
      </c>
      <c r="E8" s="293">
        <f>50/1000000</f>
        <v>5E-05</v>
      </c>
      <c r="F8" s="293">
        <f aca="true" t="shared" si="1" ref="F8:K8">50/1000000</f>
        <v>5E-05</v>
      </c>
      <c r="G8" s="293">
        <f t="shared" si="1"/>
        <v>5E-05</v>
      </c>
      <c r="H8" s="293">
        <f t="shared" si="1"/>
        <v>5E-05</v>
      </c>
      <c r="I8" s="293">
        <f t="shared" si="1"/>
        <v>5E-05</v>
      </c>
      <c r="J8" s="293">
        <f t="shared" si="1"/>
        <v>5E-05</v>
      </c>
      <c r="K8" s="293">
        <f t="shared" si="1"/>
        <v>5E-05</v>
      </c>
    </row>
    <row r="9" spans="1:11" s="292" customFormat="1" ht="12.75" customHeight="1">
      <c r="A9" s="258">
        <v>3</v>
      </c>
      <c r="B9" s="277" t="s">
        <v>1000</v>
      </c>
      <c r="C9" s="273" t="s">
        <v>704</v>
      </c>
      <c r="D9" s="293">
        <f>SUM(E9:K9)</f>
        <v>0.00014000000000000001</v>
      </c>
      <c r="E9" s="293">
        <f>20/1000000</f>
        <v>2E-05</v>
      </c>
      <c r="F9" s="293">
        <f aca="true" t="shared" si="2" ref="F9:K10">20/1000000</f>
        <v>2E-05</v>
      </c>
      <c r="G9" s="293">
        <f t="shared" si="2"/>
        <v>2E-05</v>
      </c>
      <c r="H9" s="293">
        <f t="shared" si="2"/>
        <v>2E-05</v>
      </c>
      <c r="I9" s="293">
        <f t="shared" si="2"/>
        <v>2E-05</v>
      </c>
      <c r="J9" s="293">
        <f t="shared" si="2"/>
        <v>2E-05</v>
      </c>
      <c r="K9" s="293">
        <f t="shared" si="2"/>
        <v>2E-05</v>
      </c>
    </row>
    <row r="10" spans="1:11" s="292" customFormat="1" ht="12.75" customHeight="1">
      <c r="A10" s="258">
        <v>4</v>
      </c>
      <c r="B10" s="277" t="s">
        <v>1002</v>
      </c>
      <c r="C10" s="273" t="s">
        <v>704</v>
      </c>
      <c r="D10" s="293">
        <f>SUM(E10:K10)</f>
        <v>0.00014000000000000001</v>
      </c>
      <c r="E10" s="293">
        <f>20/1000000</f>
        <v>2E-05</v>
      </c>
      <c r="F10" s="293">
        <f t="shared" si="2"/>
        <v>2E-05</v>
      </c>
      <c r="G10" s="293">
        <f t="shared" si="2"/>
        <v>2E-05</v>
      </c>
      <c r="H10" s="293">
        <f t="shared" si="2"/>
        <v>2E-05</v>
      </c>
      <c r="I10" s="293">
        <f t="shared" si="2"/>
        <v>2E-05</v>
      </c>
      <c r="J10" s="293">
        <f t="shared" si="2"/>
        <v>2E-05</v>
      </c>
      <c r="K10" s="293">
        <f t="shared" si="2"/>
        <v>2E-05</v>
      </c>
    </row>
    <row r="11" spans="1:11" s="292" customFormat="1" ht="12.75">
      <c r="A11" s="258"/>
      <c r="B11" s="264" t="s">
        <v>108</v>
      </c>
      <c r="C11" s="258" t="s">
        <v>704</v>
      </c>
      <c r="D11" s="294">
        <f>SUM(E11:K11)</f>
        <v>0.0014000000000000002</v>
      </c>
      <c r="E11" s="294">
        <f>E7+E8+E9+E10</f>
        <v>0.0002</v>
      </c>
      <c r="F11" s="294">
        <f aca="true" t="shared" si="3" ref="F11:K11">F7+F8+F9+F10</f>
        <v>0.0002</v>
      </c>
      <c r="G11" s="294">
        <f t="shared" si="3"/>
        <v>0.0002</v>
      </c>
      <c r="H11" s="294">
        <f t="shared" si="3"/>
        <v>0.0002</v>
      </c>
      <c r="I11" s="294">
        <f t="shared" si="3"/>
        <v>0.0002</v>
      </c>
      <c r="J11" s="294">
        <f t="shared" si="3"/>
        <v>0.0002</v>
      </c>
      <c r="K11" s="294">
        <f t="shared" si="3"/>
        <v>0.0002</v>
      </c>
    </row>
  </sheetData>
  <sheetProtection/>
  <mergeCells count="6">
    <mergeCell ref="A4:A5"/>
    <mergeCell ref="A2:K2"/>
    <mergeCell ref="B4:B5"/>
    <mergeCell ref="D4:D5"/>
    <mergeCell ref="E4:K4"/>
    <mergeCell ref="C4:C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4"/>
  <sheetViews>
    <sheetView zoomScalePageLayoutView="0" workbookViewId="0" topLeftCell="A1">
      <pane xSplit="2" ySplit="3" topLeftCell="C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7" sqref="E57"/>
    </sheetView>
  </sheetViews>
  <sheetFormatPr defaultColWidth="9.00390625" defaultRowHeight="12.75"/>
  <cols>
    <col min="2" max="2" width="36.25390625" style="0" customWidth="1"/>
    <col min="4" max="5" width="10.875" style="0" bestFit="1" customWidth="1"/>
    <col min="6" max="6" width="12.75390625" style="0" customWidth="1"/>
    <col min="7" max="7" width="20.25390625" style="0" customWidth="1"/>
    <col min="8" max="8" width="16.125" style="0" customWidth="1"/>
    <col min="9" max="9" width="18.625" style="0" customWidth="1"/>
  </cols>
  <sheetData>
    <row r="2" spans="1:9" ht="15.75">
      <c r="A2" s="382" t="s">
        <v>225</v>
      </c>
      <c r="B2" s="382"/>
      <c r="C2" s="382"/>
      <c r="D2" s="382"/>
      <c r="E2" s="382"/>
      <c r="F2" s="382"/>
      <c r="G2" s="382"/>
      <c r="H2" s="382"/>
      <c r="I2" s="382"/>
    </row>
    <row r="3" spans="1:9" ht="51">
      <c r="A3" s="11" t="s">
        <v>46</v>
      </c>
      <c r="B3" s="11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52</v>
      </c>
      <c r="H3" s="11" t="s">
        <v>53</v>
      </c>
      <c r="I3" s="11" t="s">
        <v>54</v>
      </c>
    </row>
    <row r="4" spans="1:9" ht="12.75">
      <c r="A4" s="12">
        <v>1</v>
      </c>
      <c r="B4" s="12">
        <v>2</v>
      </c>
      <c r="C4" s="13">
        <v>3</v>
      </c>
      <c r="D4" s="12">
        <v>4</v>
      </c>
      <c r="E4" s="13">
        <v>5</v>
      </c>
      <c r="F4" s="12">
        <v>5</v>
      </c>
      <c r="G4" s="13">
        <v>6</v>
      </c>
      <c r="H4" s="12">
        <v>7</v>
      </c>
      <c r="I4" s="13">
        <v>8</v>
      </c>
    </row>
    <row r="5" spans="1:9" ht="45.75" customHeight="1">
      <c r="A5" s="14" t="s">
        <v>55</v>
      </c>
      <c r="B5" s="14" t="s">
        <v>56</v>
      </c>
      <c r="C5" s="15" t="s">
        <v>1</v>
      </c>
      <c r="D5" s="16" t="e">
        <f>E5</f>
        <v>#REF!</v>
      </c>
      <c r="E5" s="16" t="e">
        <f>E6+E74+E78+E84+E91+E97+E110+E68+E69+E109</f>
        <v>#REF!</v>
      </c>
      <c r="F5" s="17" t="s">
        <v>57</v>
      </c>
      <c r="G5" s="14" t="s">
        <v>58</v>
      </c>
      <c r="H5" s="18" t="s">
        <v>59</v>
      </c>
      <c r="I5" s="18"/>
    </row>
    <row r="6" spans="1:9" ht="32.25" customHeight="1">
      <c r="A6" s="23" t="s">
        <v>235</v>
      </c>
      <c r="B6" s="7" t="s">
        <v>28</v>
      </c>
      <c r="C6" s="77" t="s">
        <v>25</v>
      </c>
      <c r="D6" s="77"/>
      <c r="E6" s="78" t="e">
        <f>E7+E16+E25+E34+E41+E49+E58</f>
        <v>#REF!</v>
      </c>
      <c r="F6" s="79" t="s">
        <v>174</v>
      </c>
      <c r="G6" s="31" t="s">
        <v>58</v>
      </c>
      <c r="H6" s="19" t="s">
        <v>59</v>
      </c>
      <c r="I6" s="29"/>
    </row>
    <row r="7" spans="1:9" ht="10.5" customHeight="1">
      <c r="A7" s="87" t="s">
        <v>236</v>
      </c>
      <c r="B7" s="6" t="s">
        <v>109</v>
      </c>
      <c r="C7" s="88" t="s">
        <v>25</v>
      </c>
      <c r="D7" s="100" t="e">
        <f>D8</f>
        <v>#REF!</v>
      </c>
      <c r="E7" s="33" t="e">
        <f>SUM(E8:E15)</f>
        <v>#REF!</v>
      </c>
      <c r="F7" s="32" t="s">
        <v>297</v>
      </c>
      <c r="G7" s="386"/>
      <c r="H7" s="386"/>
      <c r="I7" s="370"/>
    </row>
    <row r="8" spans="1:9" ht="15.75" customHeight="1">
      <c r="A8" s="85" t="s">
        <v>237</v>
      </c>
      <c r="B8" s="94" t="s">
        <v>162</v>
      </c>
      <c r="C8" s="89" t="s">
        <v>25</v>
      </c>
      <c r="D8" s="81" t="e">
        <f>'т1'!#REF!</f>
        <v>#REF!</v>
      </c>
      <c r="E8" s="28" t="e">
        <f>'т1'!#REF!+'т1'!#REF!</f>
        <v>#REF!</v>
      </c>
      <c r="F8" s="27" t="s">
        <v>297</v>
      </c>
      <c r="G8" s="387"/>
      <c r="H8" s="387"/>
      <c r="I8" s="371"/>
    </row>
    <row r="9" spans="1:9" ht="12.75" customHeight="1">
      <c r="A9" s="85" t="s">
        <v>238</v>
      </c>
      <c r="B9" s="86" t="s">
        <v>29</v>
      </c>
      <c r="C9" s="34" t="s">
        <v>2</v>
      </c>
      <c r="D9" s="81" t="e">
        <f>'т1'!#REF!+'т1'!#REF!</f>
        <v>#REF!</v>
      </c>
      <c r="E9" s="28" t="e">
        <f>'т1'!#REF!+'т1'!#REF!</f>
        <v>#REF!</v>
      </c>
      <c r="F9" s="27" t="s">
        <v>297</v>
      </c>
      <c r="G9" s="387"/>
      <c r="H9" s="387"/>
      <c r="I9" s="371"/>
    </row>
    <row r="10" spans="1:9" ht="12.75">
      <c r="A10" s="85" t="s">
        <v>239</v>
      </c>
      <c r="B10" s="30" t="s">
        <v>30</v>
      </c>
      <c r="C10" s="34" t="s">
        <v>2</v>
      </c>
      <c r="D10" s="81" t="e">
        <f>'т1'!#REF!</f>
        <v>#REF!</v>
      </c>
      <c r="E10" s="28" t="e">
        <f>'т1'!#REF!</f>
        <v>#REF!</v>
      </c>
      <c r="F10" s="27" t="s">
        <v>297</v>
      </c>
      <c r="G10" s="387"/>
      <c r="H10" s="387"/>
      <c r="I10" s="371"/>
    </row>
    <row r="11" spans="1:9" ht="25.5">
      <c r="A11" s="85" t="s">
        <v>240</v>
      </c>
      <c r="B11" s="10" t="s">
        <v>293</v>
      </c>
      <c r="C11" s="34" t="s">
        <v>2</v>
      </c>
      <c r="D11" s="81" t="e">
        <f>'т1'!#REF!+'т1'!#REF!</f>
        <v>#REF!</v>
      </c>
      <c r="E11" s="28" t="e">
        <f>'т1'!#REF!+'т1'!#REF!</f>
        <v>#REF!</v>
      </c>
      <c r="F11" s="27" t="s">
        <v>297</v>
      </c>
      <c r="G11" s="387"/>
      <c r="H11" s="387"/>
      <c r="I11" s="371"/>
    </row>
    <row r="12" spans="1:9" ht="25.5">
      <c r="A12" s="85" t="s">
        <v>241</v>
      </c>
      <c r="B12" s="10" t="s">
        <v>32</v>
      </c>
      <c r="C12" s="34" t="s">
        <v>2</v>
      </c>
      <c r="D12" s="81" t="e">
        <f>'т1'!#REF!</f>
        <v>#REF!</v>
      </c>
      <c r="E12" s="28" t="e">
        <f>'т1'!#REF!</f>
        <v>#REF!</v>
      </c>
      <c r="F12" s="27" t="s">
        <v>297</v>
      </c>
      <c r="G12" s="387"/>
      <c r="H12" s="387"/>
      <c r="I12" s="371"/>
    </row>
    <row r="13" spans="1:9" ht="12.75">
      <c r="A13" s="85" t="s">
        <v>242</v>
      </c>
      <c r="B13" s="91" t="s">
        <v>31</v>
      </c>
      <c r="C13" s="34" t="s">
        <v>2</v>
      </c>
      <c r="D13" s="55" t="e">
        <f>'т1'!#REF!</f>
        <v>#REF!</v>
      </c>
      <c r="E13" s="28" t="e">
        <f>'т1'!#REF!</f>
        <v>#REF!</v>
      </c>
      <c r="F13" s="27" t="s">
        <v>297</v>
      </c>
      <c r="G13" s="387"/>
      <c r="H13" s="387"/>
      <c r="I13" s="371"/>
    </row>
    <row r="14" spans="1:9" ht="25.5">
      <c r="A14" s="85" t="s">
        <v>288</v>
      </c>
      <c r="B14" s="10" t="s">
        <v>295</v>
      </c>
      <c r="C14" s="34" t="s">
        <v>2</v>
      </c>
      <c r="D14" s="55" t="e">
        <f>'т1'!#REF!+'т1'!#REF!</f>
        <v>#REF!</v>
      </c>
      <c r="E14" s="28" t="e">
        <f>'т1'!#REF!+'т1'!#REF!</f>
        <v>#REF!</v>
      </c>
      <c r="F14" s="27" t="s">
        <v>297</v>
      </c>
      <c r="G14" s="387"/>
      <c r="H14" s="387"/>
      <c r="I14" s="371"/>
    </row>
    <row r="15" spans="1:9" ht="12.75" customHeight="1">
      <c r="A15" s="85" t="s">
        <v>289</v>
      </c>
      <c r="B15" s="10" t="s">
        <v>33</v>
      </c>
      <c r="C15" s="80" t="s">
        <v>2</v>
      </c>
      <c r="D15" s="81" t="e">
        <f>'т1'!#REF!</f>
        <v>#REF!</v>
      </c>
      <c r="E15" s="28" t="e">
        <f>'т1'!#REF!+('т1'!#REF!/14946)*'т1'!#REF!</f>
        <v>#REF!</v>
      </c>
      <c r="F15" s="27" t="s">
        <v>297</v>
      </c>
      <c r="G15" s="387"/>
      <c r="H15" s="387"/>
      <c r="I15" s="371"/>
    </row>
    <row r="16" spans="1:9" ht="10.5" customHeight="1">
      <c r="A16" s="8" t="s">
        <v>243</v>
      </c>
      <c r="B16" s="6" t="s">
        <v>110</v>
      </c>
      <c r="C16" s="2" t="s">
        <v>25</v>
      </c>
      <c r="D16" s="101" t="e">
        <f>D17</f>
        <v>#REF!</v>
      </c>
      <c r="E16" s="33" t="e">
        <f>SUM(E17:E24)</f>
        <v>#REF!</v>
      </c>
      <c r="F16" s="32" t="s">
        <v>176</v>
      </c>
      <c r="G16" s="387"/>
      <c r="H16" s="387"/>
      <c r="I16" s="371"/>
    </row>
    <row r="17" spans="1:9" ht="12.75">
      <c r="A17" s="95" t="s">
        <v>245</v>
      </c>
      <c r="B17" s="96" t="s">
        <v>34</v>
      </c>
      <c r="C17" s="80" t="s">
        <v>25</v>
      </c>
      <c r="D17" s="81" t="e">
        <f>'т1'!#REF!</f>
        <v>#REF!</v>
      </c>
      <c r="E17" s="28" t="e">
        <f>'т1'!#REF!+'т1'!#REF!</f>
        <v>#REF!</v>
      </c>
      <c r="F17" s="27" t="s">
        <v>176</v>
      </c>
      <c r="G17" s="387"/>
      <c r="H17" s="387"/>
      <c r="I17" s="371"/>
    </row>
    <row r="18" spans="1:9" ht="12.75">
      <c r="A18" s="95" t="s">
        <v>246</v>
      </c>
      <c r="B18" s="86" t="s">
        <v>29</v>
      </c>
      <c r="C18" s="34" t="s">
        <v>2</v>
      </c>
      <c r="D18" s="35" t="e">
        <f>'т1'!#REF!+'т1'!#REF!</f>
        <v>#REF!</v>
      </c>
      <c r="E18" s="28" t="e">
        <f>'т1'!#REF!+'т1'!#REF!</f>
        <v>#REF!</v>
      </c>
      <c r="F18" s="27" t="s">
        <v>176</v>
      </c>
      <c r="G18" s="387"/>
      <c r="H18" s="387"/>
      <c r="I18" s="371"/>
    </row>
    <row r="19" spans="1:9" ht="12.75">
      <c r="A19" s="95" t="s">
        <v>247</v>
      </c>
      <c r="B19" s="10" t="s">
        <v>30</v>
      </c>
      <c r="C19" s="34" t="s">
        <v>2</v>
      </c>
      <c r="D19" s="81" t="e">
        <f>'т1'!#REF!</f>
        <v>#REF!</v>
      </c>
      <c r="E19" s="28" t="e">
        <f>'т1'!#REF!</f>
        <v>#REF!</v>
      </c>
      <c r="F19" s="27" t="s">
        <v>176</v>
      </c>
      <c r="G19" s="387"/>
      <c r="H19" s="387"/>
      <c r="I19" s="371"/>
    </row>
    <row r="20" spans="1:9" ht="25.5">
      <c r="A20" s="95" t="s">
        <v>248</v>
      </c>
      <c r="B20" s="10" t="s">
        <v>293</v>
      </c>
      <c r="C20" s="34" t="s">
        <v>2</v>
      </c>
      <c r="D20" s="81" t="e">
        <f>'т1'!#REF!+'т1'!#REF!</f>
        <v>#REF!</v>
      </c>
      <c r="E20" s="28" t="e">
        <f>'т1'!#REF!+'т1'!#REF!</f>
        <v>#REF!</v>
      </c>
      <c r="F20" s="27"/>
      <c r="G20" s="387"/>
      <c r="H20" s="387"/>
      <c r="I20" s="371"/>
    </row>
    <row r="21" spans="1:9" ht="12.75">
      <c r="A21" s="95" t="s">
        <v>249</v>
      </c>
      <c r="B21" s="10" t="s">
        <v>35</v>
      </c>
      <c r="C21" s="34" t="s">
        <v>2</v>
      </c>
      <c r="D21" s="81" t="e">
        <f>'т1'!#REF!</f>
        <v>#REF!</v>
      </c>
      <c r="E21" s="28" t="e">
        <f>'т1'!#REF!</f>
        <v>#REF!</v>
      </c>
      <c r="F21" s="27"/>
      <c r="G21" s="387"/>
      <c r="H21" s="387"/>
      <c r="I21" s="371"/>
    </row>
    <row r="22" spans="1:9" ht="12.75">
      <c r="A22" s="95" t="s">
        <v>250</v>
      </c>
      <c r="B22" s="91" t="s">
        <v>31</v>
      </c>
      <c r="C22" s="34" t="s">
        <v>2</v>
      </c>
      <c r="D22" s="81" t="e">
        <f>'т1'!#REF!</f>
        <v>#REF!</v>
      </c>
      <c r="E22" s="28" t="e">
        <f>'т1'!#REF!</f>
        <v>#REF!</v>
      </c>
      <c r="F22" s="27" t="s">
        <v>176</v>
      </c>
      <c r="G22" s="387"/>
      <c r="H22" s="387"/>
      <c r="I22" s="371"/>
    </row>
    <row r="23" spans="1:9" ht="25.5">
      <c r="A23" s="95" t="s">
        <v>290</v>
      </c>
      <c r="B23" s="10" t="s">
        <v>295</v>
      </c>
      <c r="C23" s="34" t="s">
        <v>2</v>
      </c>
      <c r="D23" s="81" t="e">
        <f>'т1'!#REF!+'т1'!#REF!</f>
        <v>#REF!</v>
      </c>
      <c r="E23" s="28" t="e">
        <f>'т1'!#REF!+'т1'!#REF!</f>
        <v>#REF!</v>
      </c>
      <c r="F23" s="27" t="s">
        <v>176</v>
      </c>
      <c r="G23" s="387"/>
      <c r="H23" s="387"/>
      <c r="I23" s="371"/>
    </row>
    <row r="24" spans="1:9" ht="12.75">
      <c r="A24" s="95" t="s">
        <v>296</v>
      </c>
      <c r="B24" s="10" t="s">
        <v>33</v>
      </c>
      <c r="C24" s="34" t="s">
        <v>2</v>
      </c>
      <c r="D24" s="25" t="e">
        <f>'т1'!#REF!</f>
        <v>#REF!</v>
      </c>
      <c r="E24" s="37" t="e">
        <f>'т1'!#REF!+(('т1'!#REF!+'т1'!#REF!)/14946)*'т1'!#REF!</f>
        <v>#REF!</v>
      </c>
      <c r="F24" s="27" t="s">
        <v>176</v>
      </c>
      <c r="G24" s="387"/>
      <c r="H24" s="387"/>
      <c r="I24" s="371"/>
    </row>
    <row r="25" spans="1:9" ht="10.5" customHeight="1">
      <c r="A25" s="8" t="s">
        <v>244</v>
      </c>
      <c r="B25" s="6" t="s">
        <v>111</v>
      </c>
      <c r="C25" s="2" t="s">
        <v>25</v>
      </c>
      <c r="D25" s="102" t="e">
        <f>D26</f>
        <v>#REF!</v>
      </c>
      <c r="E25" s="33" t="e">
        <f>SUM(E26:E33)</f>
        <v>#REF!</v>
      </c>
      <c r="F25" s="32" t="s">
        <v>175</v>
      </c>
      <c r="G25" s="387"/>
      <c r="H25" s="387"/>
      <c r="I25" s="371"/>
    </row>
    <row r="26" spans="1:9" ht="14.25" customHeight="1">
      <c r="A26" s="85" t="s">
        <v>251</v>
      </c>
      <c r="B26" s="94" t="s">
        <v>162</v>
      </c>
      <c r="C26" s="34" t="s">
        <v>25</v>
      </c>
      <c r="D26" s="25" t="e">
        <f>'т1'!#REF!</f>
        <v>#REF!</v>
      </c>
      <c r="E26" s="37" t="e">
        <f>'т1'!#REF!+'т1'!#REF!</f>
        <v>#REF!</v>
      </c>
      <c r="F26" s="27" t="s">
        <v>175</v>
      </c>
      <c r="G26" s="387"/>
      <c r="H26" s="387"/>
      <c r="I26" s="371"/>
    </row>
    <row r="27" spans="1:9" ht="12.75">
      <c r="A27" s="85" t="s">
        <v>252</v>
      </c>
      <c r="B27" s="86" t="s">
        <v>29</v>
      </c>
      <c r="C27" s="34" t="s">
        <v>2</v>
      </c>
      <c r="D27" s="35" t="e">
        <f>'т1'!#REF!+'т1'!#REF!</f>
        <v>#REF!</v>
      </c>
      <c r="E27" s="28" t="e">
        <f>'т1'!#REF!+'т1'!#REF!</f>
        <v>#REF!</v>
      </c>
      <c r="F27" s="27" t="s">
        <v>175</v>
      </c>
      <c r="G27" s="387"/>
      <c r="H27" s="387"/>
      <c r="I27" s="371"/>
    </row>
    <row r="28" spans="1:9" ht="12.75">
      <c r="A28" s="85" t="s">
        <v>253</v>
      </c>
      <c r="B28" s="10" t="s">
        <v>30</v>
      </c>
      <c r="C28" s="34" t="s">
        <v>2</v>
      </c>
      <c r="D28" s="35" t="e">
        <f>'т1'!#REF!</f>
        <v>#REF!</v>
      </c>
      <c r="E28" s="28" t="e">
        <f>'т1'!#REF!</f>
        <v>#REF!</v>
      </c>
      <c r="F28" s="27" t="s">
        <v>175</v>
      </c>
      <c r="G28" s="387"/>
      <c r="H28" s="387"/>
      <c r="I28" s="371"/>
    </row>
    <row r="29" spans="1:9" ht="25.5">
      <c r="A29" s="85"/>
      <c r="B29" s="10" t="s">
        <v>293</v>
      </c>
      <c r="C29" s="34" t="s">
        <v>2</v>
      </c>
      <c r="D29" s="35" t="e">
        <f>'т1'!#REF!+'т1'!#REF!</f>
        <v>#REF!</v>
      </c>
      <c r="E29" s="28" t="e">
        <f>'т1'!#REF!+'т1'!#REF!</f>
        <v>#REF!</v>
      </c>
      <c r="F29" s="27" t="s">
        <v>175</v>
      </c>
      <c r="G29" s="387"/>
      <c r="H29" s="387"/>
      <c r="I29" s="371"/>
    </row>
    <row r="30" spans="1:9" ht="12.75">
      <c r="A30" s="85"/>
      <c r="B30" s="10" t="s">
        <v>35</v>
      </c>
      <c r="C30" s="34" t="s">
        <v>2</v>
      </c>
      <c r="D30" s="55" t="e">
        <f>'т1'!#REF!</f>
        <v>#REF!</v>
      </c>
      <c r="E30" s="28" t="e">
        <f>'т1'!#REF!</f>
        <v>#REF!</v>
      </c>
      <c r="F30" s="27" t="s">
        <v>175</v>
      </c>
      <c r="G30" s="387"/>
      <c r="H30" s="387"/>
      <c r="I30" s="371"/>
    </row>
    <row r="31" spans="1:9" ht="12.75">
      <c r="A31" s="85" t="s">
        <v>254</v>
      </c>
      <c r="B31" s="91" t="s">
        <v>31</v>
      </c>
      <c r="C31" s="34" t="s">
        <v>2</v>
      </c>
      <c r="D31" s="55" t="e">
        <f>'т1'!#REF!</f>
        <v>#REF!</v>
      </c>
      <c r="E31" s="28" t="e">
        <f>'т1'!#REF!</f>
        <v>#REF!</v>
      </c>
      <c r="F31" s="27" t="s">
        <v>175</v>
      </c>
      <c r="G31" s="387"/>
      <c r="H31" s="387"/>
      <c r="I31" s="371"/>
    </row>
    <row r="32" spans="1:9" ht="25.5">
      <c r="A32" s="85" t="s">
        <v>291</v>
      </c>
      <c r="B32" s="10" t="s">
        <v>295</v>
      </c>
      <c r="C32" s="34" t="s">
        <v>2</v>
      </c>
      <c r="D32" s="55" t="e">
        <f>'т1'!#REF!+'т1'!#REF!</f>
        <v>#REF!</v>
      </c>
      <c r="E32" s="28" t="e">
        <f>'т1'!#REF!+'т1'!#REF!</f>
        <v>#REF!</v>
      </c>
      <c r="F32" s="27" t="s">
        <v>175</v>
      </c>
      <c r="G32" s="387"/>
      <c r="H32" s="387"/>
      <c r="I32" s="371"/>
    </row>
    <row r="33" spans="1:9" ht="12.75">
      <c r="A33" s="85" t="s">
        <v>292</v>
      </c>
      <c r="B33" s="10" t="s">
        <v>33</v>
      </c>
      <c r="C33" s="34" t="s">
        <v>2</v>
      </c>
      <c r="D33" s="35" t="e">
        <f>'т1'!#REF!</f>
        <v>#REF!</v>
      </c>
      <c r="E33" s="28" t="e">
        <f>'т1'!#REF!+(('т1'!#REF!+'т1'!#REF!)/14946)*'т1'!#REF!</f>
        <v>#REF!</v>
      </c>
      <c r="F33" s="27" t="s">
        <v>175</v>
      </c>
      <c r="G33" s="387"/>
      <c r="H33" s="387"/>
      <c r="I33" s="371"/>
    </row>
    <row r="34" spans="1:9" ht="10.5" customHeight="1">
      <c r="A34" s="8" t="s">
        <v>255</v>
      </c>
      <c r="B34" s="72" t="s">
        <v>112</v>
      </c>
      <c r="C34" s="2" t="s">
        <v>25</v>
      </c>
      <c r="D34" s="103" t="e">
        <f>D35</f>
        <v>#REF!</v>
      </c>
      <c r="E34" s="33" t="e">
        <f>SUM(E35:E40)</f>
        <v>#REF!</v>
      </c>
      <c r="F34" s="32" t="s">
        <v>298</v>
      </c>
      <c r="G34" s="387"/>
      <c r="H34" s="387"/>
      <c r="I34" s="371"/>
    </row>
    <row r="35" spans="1:9" ht="12.75" customHeight="1">
      <c r="A35" s="85" t="s">
        <v>256</v>
      </c>
      <c r="B35" s="94" t="s">
        <v>34</v>
      </c>
      <c r="C35" s="34" t="s">
        <v>25</v>
      </c>
      <c r="D35" s="35" t="e">
        <f>'т1'!#REF!+'т1'!#REF!</f>
        <v>#REF!</v>
      </c>
      <c r="E35" s="28" t="e">
        <f>'т1'!#REF!+'т1'!#REF!+'т1'!#REF!</f>
        <v>#REF!</v>
      </c>
      <c r="F35" s="27" t="s">
        <v>299</v>
      </c>
      <c r="G35" s="387"/>
      <c r="H35" s="387"/>
      <c r="I35" s="371"/>
    </row>
    <row r="36" spans="1:9" ht="12.75">
      <c r="A36" s="85" t="s">
        <v>257</v>
      </c>
      <c r="B36" s="86" t="s">
        <v>29</v>
      </c>
      <c r="C36" s="34" t="s">
        <v>2</v>
      </c>
      <c r="D36" s="55" t="e">
        <f>'т1'!#REF!</f>
        <v>#REF!</v>
      </c>
      <c r="E36" s="28" t="e">
        <f>'т1'!#REF!</f>
        <v>#REF!</v>
      </c>
      <c r="F36" s="27" t="s">
        <v>299</v>
      </c>
      <c r="G36" s="387"/>
      <c r="H36" s="387"/>
      <c r="I36" s="371"/>
    </row>
    <row r="37" spans="1:9" ht="12.75">
      <c r="A37" s="85" t="s">
        <v>258</v>
      </c>
      <c r="B37" s="76" t="s">
        <v>30</v>
      </c>
      <c r="C37" s="34" t="s">
        <v>2</v>
      </c>
      <c r="D37" s="55" t="e">
        <f>'т1'!#REF!</f>
        <v>#REF!</v>
      </c>
      <c r="E37" s="28" t="e">
        <f>'т1'!#REF!</f>
        <v>#REF!</v>
      </c>
      <c r="F37" s="27" t="s">
        <v>299</v>
      </c>
      <c r="G37" s="387"/>
      <c r="H37" s="387"/>
      <c r="I37" s="371"/>
    </row>
    <row r="38" spans="1:9" ht="25.5">
      <c r="A38" s="85"/>
      <c r="B38" s="10" t="s">
        <v>294</v>
      </c>
      <c r="C38" s="34" t="s">
        <v>2</v>
      </c>
      <c r="D38" s="55" t="e">
        <f>'т1'!#REF!</f>
        <v>#REF!</v>
      </c>
      <c r="E38" s="28" t="e">
        <f>'т1'!#REF!</f>
        <v>#REF!</v>
      </c>
      <c r="F38" s="27" t="s">
        <v>299</v>
      </c>
      <c r="G38" s="387"/>
      <c r="H38" s="387"/>
      <c r="I38" s="371"/>
    </row>
    <row r="39" spans="1:9" ht="12.75">
      <c r="A39" s="85"/>
      <c r="B39" s="76" t="s">
        <v>35</v>
      </c>
      <c r="C39" s="34" t="s">
        <v>2</v>
      </c>
      <c r="D39" s="55" t="e">
        <f>'т1'!#REF!</f>
        <v>#REF!</v>
      </c>
      <c r="E39" s="28" t="e">
        <f>'т1'!#REF!</f>
        <v>#REF!</v>
      </c>
      <c r="F39" s="27" t="s">
        <v>299</v>
      </c>
      <c r="G39" s="387"/>
      <c r="H39" s="387"/>
      <c r="I39" s="371"/>
    </row>
    <row r="40" spans="1:9" ht="12.75">
      <c r="A40" s="85" t="s">
        <v>259</v>
      </c>
      <c r="B40" s="91" t="s">
        <v>31</v>
      </c>
      <c r="C40" s="34" t="s">
        <v>2</v>
      </c>
      <c r="D40" s="55" t="e">
        <f>'т1'!#REF!</f>
        <v>#REF!</v>
      </c>
      <c r="E40" s="28" t="e">
        <f>'т1'!#REF!</f>
        <v>#REF!</v>
      </c>
      <c r="F40" s="27" t="s">
        <v>299</v>
      </c>
      <c r="G40" s="387"/>
      <c r="H40" s="387"/>
      <c r="I40" s="371"/>
    </row>
    <row r="41" spans="1:9" ht="11.25" customHeight="1">
      <c r="A41" s="8" t="s">
        <v>260</v>
      </c>
      <c r="B41" s="72" t="s">
        <v>114</v>
      </c>
      <c r="C41" s="2" t="s">
        <v>25</v>
      </c>
      <c r="D41" s="103" t="e">
        <f>D42</f>
        <v>#REF!</v>
      </c>
      <c r="E41" s="33" t="e">
        <f>SUM(E42:E48)</f>
        <v>#REF!</v>
      </c>
      <c r="F41" s="32" t="s">
        <v>302</v>
      </c>
      <c r="G41" s="387"/>
      <c r="H41" s="387"/>
      <c r="I41" s="371"/>
    </row>
    <row r="42" spans="1:9" ht="12.75">
      <c r="A42" s="90" t="s">
        <v>261</v>
      </c>
      <c r="B42" s="76" t="s">
        <v>115</v>
      </c>
      <c r="C42" s="34" t="s">
        <v>25</v>
      </c>
      <c r="D42" s="35" t="e">
        <f>'т1'!#REF!</f>
        <v>#REF!</v>
      </c>
      <c r="E42" s="28" t="e">
        <f>'т1'!#REF!</f>
        <v>#REF!</v>
      </c>
      <c r="F42" s="27" t="s">
        <v>300</v>
      </c>
      <c r="G42" s="387"/>
      <c r="H42" s="387"/>
      <c r="I42" s="371"/>
    </row>
    <row r="43" spans="1:9" ht="12.75">
      <c r="A43" s="90" t="s">
        <v>262</v>
      </c>
      <c r="B43" s="76" t="s">
        <v>116</v>
      </c>
      <c r="C43" s="34" t="s">
        <v>25</v>
      </c>
      <c r="D43" s="35" t="e">
        <f>'т1'!#REF!+'т1'!#REF!</f>
        <v>#REF!</v>
      </c>
      <c r="E43" s="28" t="e">
        <f>'т1'!#REF!+'т1'!#REF!+'т1'!#REF!</f>
        <v>#REF!</v>
      </c>
      <c r="F43" s="27" t="s">
        <v>301</v>
      </c>
      <c r="G43" s="387"/>
      <c r="H43" s="387"/>
      <c r="I43" s="371"/>
    </row>
    <row r="44" spans="1:9" ht="12.75">
      <c r="A44" s="90" t="s">
        <v>263</v>
      </c>
      <c r="B44" s="76" t="s">
        <v>113</v>
      </c>
      <c r="C44" s="34" t="s">
        <v>2</v>
      </c>
      <c r="D44" s="35" t="e">
        <f>'т1'!#REF!</f>
        <v>#REF!</v>
      </c>
      <c r="E44" s="28" t="e">
        <f>'т1'!#REF!</f>
        <v>#REF!</v>
      </c>
      <c r="F44" s="27" t="s">
        <v>301</v>
      </c>
      <c r="G44" s="387"/>
      <c r="H44" s="387"/>
      <c r="I44" s="371"/>
    </row>
    <row r="45" spans="1:9" ht="12.75">
      <c r="A45" s="90" t="s">
        <v>264</v>
      </c>
      <c r="B45" s="76" t="s">
        <v>30</v>
      </c>
      <c r="C45" s="34" t="s">
        <v>2</v>
      </c>
      <c r="D45" s="35" t="e">
        <f>'т1'!#REF!</f>
        <v>#REF!</v>
      </c>
      <c r="E45" s="28" t="e">
        <f>'т1'!#REF!</f>
        <v>#REF!</v>
      </c>
      <c r="F45" s="27" t="s">
        <v>301</v>
      </c>
      <c r="G45" s="387"/>
      <c r="H45" s="387"/>
      <c r="I45" s="371"/>
    </row>
    <row r="46" spans="1:9" ht="25.5">
      <c r="A46" s="90"/>
      <c r="B46" s="10" t="s">
        <v>293</v>
      </c>
      <c r="C46" s="34" t="s">
        <v>2</v>
      </c>
      <c r="D46" s="35" t="e">
        <f>'т1'!#REF!</f>
        <v>#REF!</v>
      </c>
      <c r="E46" s="28" t="e">
        <f>'т1'!#REF!</f>
        <v>#REF!</v>
      </c>
      <c r="F46" s="27" t="s">
        <v>301</v>
      </c>
      <c r="G46" s="387"/>
      <c r="H46" s="387"/>
      <c r="I46" s="371"/>
    </row>
    <row r="47" spans="1:9" ht="12.75">
      <c r="A47" s="90"/>
      <c r="B47" s="76" t="s">
        <v>35</v>
      </c>
      <c r="C47" s="34" t="s">
        <v>2</v>
      </c>
      <c r="D47" s="55" t="e">
        <f>'т1'!#REF!</f>
        <v>#REF!</v>
      </c>
      <c r="E47" s="28" t="e">
        <f>'т1'!#REF!</f>
        <v>#REF!</v>
      </c>
      <c r="F47" s="27" t="s">
        <v>301</v>
      </c>
      <c r="G47" s="387"/>
      <c r="H47" s="387"/>
      <c r="I47" s="371"/>
    </row>
    <row r="48" spans="1:9" ht="12.75">
      <c r="A48" s="90" t="s">
        <v>265</v>
      </c>
      <c r="B48" s="91" t="s">
        <v>31</v>
      </c>
      <c r="C48" s="34" t="s">
        <v>2</v>
      </c>
      <c r="D48" s="35" t="e">
        <f>'т1'!#REF!</f>
        <v>#REF!</v>
      </c>
      <c r="E48" s="28" t="e">
        <f>'т1'!#REF!</f>
        <v>#REF!</v>
      </c>
      <c r="F48" s="27" t="s">
        <v>301</v>
      </c>
      <c r="G48" s="387"/>
      <c r="H48" s="387"/>
      <c r="I48" s="371"/>
    </row>
    <row r="49" spans="1:9" ht="11.25" customHeight="1">
      <c r="A49" s="8" t="s">
        <v>266</v>
      </c>
      <c r="B49" s="72" t="s">
        <v>120</v>
      </c>
      <c r="C49" s="2" t="s">
        <v>25</v>
      </c>
      <c r="D49" s="103" t="e">
        <f>D50</f>
        <v>#REF!</v>
      </c>
      <c r="E49" s="33" t="e">
        <f>SUM(E50:E57)</f>
        <v>#REF!</v>
      </c>
      <c r="F49" s="32" t="s">
        <v>177</v>
      </c>
      <c r="G49" s="387"/>
      <c r="H49" s="387"/>
      <c r="I49" s="371"/>
    </row>
    <row r="50" spans="1:9" ht="12.75">
      <c r="A50" s="90" t="s">
        <v>267</v>
      </c>
      <c r="B50" s="10" t="s">
        <v>34</v>
      </c>
      <c r="C50" s="34" t="s">
        <v>25</v>
      </c>
      <c r="D50" s="35" t="e">
        <f>'т1'!#REF!</f>
        <v>#REF!</v>
      </c>
      <c r="E50" s="28" t="e">
        <f>'т1'!#REF!+'т1'!#REF!</f>
        <v>#REF!</v>
      </c>
      <c r="F50" s="27" t="s">
        <v>303</v>
      </c>
      <c r="G50" s="387"/>
      <c r="H50" s="387"/>
      <c r="I50" s="371"/>
    </row>
    <row r="51" spans="1:9" ht="12.75">
      <c r="A51" s="90" t="s">
        <v>268</v>
      </c>
      <c r="B51" s="76" t="s">
        <v>113</v>
      </c>
      <c r="C51" s="34" t="s">
        <v>2</v>
      </c>
      <c r="D51" s="35" t="e">
        <f>'т1'!#REF!</f>
        <v>#REF!</v>
      </c>
      <c r="E51" s="28" t="e">
        <f>'т1'!#REF!</f>
        <v>#REF!</v>
      </c>
      <c r="F51" s="27" t="s">
        <v>177</v>
      </c>
      <c r="G51" s="387"/>
      <c r="H51" s="387"/>
      <c r="I51" s="371"/>
    </row>
    <row r="52" spans="1:9" ht="12.75">
      <c r="A52" s="90" t="s">
        <v>269</v>
      </c>
      <c r="B52" s="76" t="s">
        <v>30</v>
      </c>
      <c r="C52" s="34" t="s">
        <v>2</v>
      </c>
      <c r="D52" s="35" t="e">
        <f>'т1'!#REF!</f>
        <v>#REF!</v>
      </c>
      <c r="E52" s="28" t="e">
        <f>'т1'!#REF!</f>
        <v>#REF!</v>
      </c>
      <c r="F52" s="27" t="s">
        <v>177</v>
      </c>
      <c r="G52" s="387"/>
      <c r="H52" s="387"/>
      <c r="I52" s="371"/>
    </row>
    <row r="53" spans="1:9" ht="25.5">
      <c r="A53" s="90"/>
      <c r="B53" s="10" t="s">
        <v>293</v>
      </c>
      <c r="C53" s="34" t="s">
        <v>2</v>
      </c>
      <c r="D53" s="55" t="e">
        <f>'т1'!#REF!+'т1'!#REF!</f>
        <v>#REF!</v>
      </c>
      <c r="E53" s="28" t="e">
        <f>'т1'!#REF!+'т1'!#REF!</f>
        <v>#REF!</v>
      </c>
      <c r="F53" s="27" t="s">
        <v>177</v>
      </c>
      <c r="G53" s="387"/>
      <c r="H53" s="387"/>
      <c r="I53" s="371"/>
    </row>
    <row r="54" spans="1:9" ht="12.75">
      <c r="A54" s="90"/>
      <c r="B54" s="76" t="s">
        <v>35</v>
      </c>
      <c r="C54" s="34" t="s">
        <v>2</v>
      </c>
      <c r="D54" s="55" t="e">
        <f>'т1'!#REF!</f>
        <v>#REF!</v>
      </c>
      <c r="E54" s="28" t="e">
        <f>'т1'!#REF!</f>
        <v>#REF!</v>
      </c>
      <c r="F54" s="27" t="s">
        <v>177</v>
      </c>
      <c r="G54" s="387"/>
      <c r="H54" s="387"/>
      <c r="I54" s="371"/>
    </row>
    <row r="55" spans="1:9" ht="12.75">
      <c r="A55" s="90" t="s">
        <v>270</v>
      </c>
      <c r="B55" s="91" t="s">
        <v>31</v>
      </c>
      <c r="C55" s="34" t="s">
        <v>2</v>
      </c>
      <c r="D55" s="55" t="e">
        <f>'т1'!#REF!</f>
        <v>#REF!</v>
      </c>
      <c r="E55" s="28" t="e">
        <f>'т1'!#REF!</f>
        <v>#REF!</v>
      </c>
      <c r="F55" s="27" t="s">
        <v>177</v>
      </c>
      <c r="G55" s="387"/>
      <c r="H55" s="387"/>
      <c r="I55" s="371"/>
    </row>
    <row r="56" spans="1:9" ht="25.5">
      <c r="A56" s="90"/>
      <c r="B56" s="10" t="s">
        <v>295</v>
      </c>
      <c r="C56" s="34" t="s">
        <v>2</v>
      </c>
      <c r="D56" s="55" t="e">
        <f>'т1'!#REF!+'т1'!#REF!</f>
        <v>#REF!</v>
      </c>
      <c r="E56" s="28" t="e">
        <f>'т1'!#REF!+'т1'!#REF!</f>
        <v>#REF!</v>
      </c>
      <c r="F56" s="27" t="s">
        <v>177</v>
      </c>
      <c r="G56" s="387"/>
      <c r="H56" s="387"/>
      <c r="I56" s="371"/>
    </row>
    <row r="57" spans="1:9" ht="12.75">
      <c r="A57" s="90" t="s">
        <v>271</v>
      </c>
      <c r="B57" s="76" t="s">
        <v>33</v>
      </c>
      <c r="C57" s="34" t="s">
        <v>2</v>
      </c>
      <c r="D57" s="55" t="e">
        <f>'т1'!#REF!</f>
        <v>#REF!</v>
      </c>
      <c r="E57" s="28" t="e">
        <f>'т1'!#REF!+(('т1'!#REF!+'т1'!#REF!)/14946)*'т1'!#REF!</f>
        <v>#REF!</v>
      </c>
      <c r="F57" s="27" t="s">
        <v>177</v>
      </c>
      <c r="G57" s="387"/>
      <c r="H57" s="387"/>
      <c r="I57" s="371"/>
    </row>
    <row r="58" spans="1:9" ht="12" customHeight="1">
      <c r="A58" s="8" t="s">
        <v>272</v>
      </c>
      <c r="B58" s="72" t="s">
        <v>122</v>
      </c>
      <c r="C58" s="2" t="s">
        <v>25</v>
      </c>
      <c r="D58" s="103" t="e">
        <f>D59</f>
        <v>#REF!</v>
      </c>
      <c r="E58" s="33" t="e">
        <f>SUM(E59:E67)</f>
        <v>#REF!</v>
      </c>
      <c r="F58" s="32"/>
      <c r="G58" s="387"/>
      <c r="H58" s="387"/>
      <c r="I58" s="371"/>
    </row>
    <row r="59" spans="1:9" ht="12.75">
      <c r="A59" s="90" t="s">
        <v>273</v>
      </c>
      <c r="B59" s="76" t="s">
        <v>115</v>
      </c>
      <c r="C59" s="34" t="s">
        <v>25</v>
      </c>
      <c r="D59" s="35" t="e">
        <f>'т1'!#REF!</f>
        <v>#REF!</v>
      </c>
      <c r="E59" s="28" t="e">
        <f>'т1'!#REF!</f>
        <v>#REF!</v>
      </c>
      <c r="F59" s="27" t="s">
        <v>178</v>
      </c>
      <c r="G59" s="387"/>
      <c r="H59" s="387"/>
      <c r="I59" s="371"/>
    </row>
    <row r="60" spans="1:9" ht="12.75">
      <c r="A60" s="90" t="s">
        <v>274</v>
      </c>
      <c r="B60" s="76" t="s">
        <v>121</v>
      </c>
      <c r="C60" s="34" t="s">
        <v>25</v>
      </c>
      <c r="D60" s="35" t="e">
        <f>'т1'!#REF!</f>
        <v>#REF!</v>
      </c>
      <c r="E60" s="28" t="e">
        <f>'т1'!#REF!+'т1'!#REF!</f>
        <v>#REF!</v>
      </c>
      <c r="F60" s="27" t="s">
        <v>179</v>
      </c>
      <c r="G60" s="387"/>
      <c r="H60" s="387"/>
      <c r="I60" s="371"/>
    </row>
    <row r="61" spans="1:9" ht="12.75">
      <c r="A61" s="90" t="s">
        <v>275</v>
      </c>
      <c r="B61" s="76" t="s">
        <v>113</v>
      </c>
      <c r="C61" s="34" t="s">
        <v>2</v>
      </c>
      <c r="D61" s="35" t="e">
        <f>'т1'!#REF!</f>
        <v>#REF!</v>
      </c>
      <c r="E61" s="28" t="e">
        <f>'т1'!#REF!</f>
        <v>#REF!</v>
      </c>
      <c r="F61" s="27" t="s">
        <v>179</v>
      </c>
      <c r="G61" s="387"/>
      <c r="H61" s="387"/>
      <c r="I61" s="371"/>
    </row>
    <row r="62" spans="1:9" ht="12.75">
      <c r="A62" s="90" t="s">
        <v>276</v>
      </c>
      <c r="B62" s="76" t="s">
        <v>30</v>
      </c>
      <c r="C62" s="34" t="s">
        <v>2</v>
      </c>
      <c r="D62" s="35" t="e">
        <f>'т1'!#REF!</f>
        <v>#REF!</v>
      </c>
      <c r="E62" s="28" t="e">
        <f>'т1'!#REF!</f>
        <v>#REF!</v>
      </c>
      <c r="F62" s="27" t="s">
        <v>179</v>
      </c>
      <c r="G62" s="387"/>
      <c r="H62" s="387"/>
      <c r="I62" s="371"/>
    </row>
    <row r="63" spans="1:9" ht="25.5">
      <c r="A63" s="90"/>
      <c r="B63" s="10" t="s">
        <v>293</v>
      </c>
      <c r="C63" s="34" t="s">
        <v>2</v>
      </c>
      <c r="D63" s="55" t="e">
        <f>'т1'!#REF!</f>
        <v>#REF!</v>
      </c>
      <c r="E63" s="28" t="e">
        <f>'т1'!#REF!</f>
        <v>#REF!</v>
      </c>
      <c r="F63" s="27"/>
      <c r="G63" s="387"/>
      <c r="H63" s="387"/>
      <c r="I63" s="371"/>
    </row>
    <row r="64" spans="1:9" ht="12.75">
      <c r="A64" s="90"/>
      <c r="B64" s="76" t="s">
        <v>35</v>
      </c>
      <c r="C64" s="34" t="s">
        <v>2</v>
      </c>
      <c r="D64" s="55" t="e">
        <f>'т1'!#REF!</f>
        <v>#REF!</v>
      </c>
      <c r="E64" s="28" t="e">
        <f>'т1'!#REF!</f>
        <v>#REF!</v>
      </c>
      <c r="F64" s="27"/>
      <c r="G64" s="387"/>
      <c r="H64" s="387"/>
      <c r="I64" s="371"/>
    </row>
    <row r="65" spans="1:9" ht="12.75">
      <c r="A65" s="90" t="s">
        <v>277</v>
      </c>
      <c r="B65" s="91" t="s">
        <v>31</v>
      </c>
      <c r="C65" s="34" t="s">
        <v>2</v>
      </c>
      <c r="D65" s="55" t="e">
        <f>'т1'!#REF!</f>
        <v>#REF!</v>
      </c>
      <c r="E65" s="28" t="e">
        <f>'т1'!#REF!</f>
        <v>#REF!</v>
      </c>
      <c r="F65" s="27" t="s">
        <v>179</v>
      </c>
      <c r="G65" s="387"/>
      <c r="H65" s="387"/>
      <c r="I65" s="371"/>
    </row>
    <row r="66" spans="1:9" ht="25.5">
      <c r="A66" s="90"/>
      <c r="B66" s="10" t="s">
        <v>295</v>
      </c>
      <c r="C66" s="34" t="s">
        <v>2</v>
      </c>
      <c r="D66" s="55" t="e">
        <f>'т1'!#REF!+'т1'!#REF!</f>
        <v>#REF!</v>
      </c>
      <c r="E66" s="28" t="e">
        <f>'т1'!#REF!+'т1'!#REF!</f>
        <v>#REF!</v>
      </c>
      <c r="F66" s="27"/>
      <c r="G66" s="387"/>
      <c r="H66" s="387"/>
      <c r="I66" s="371"/>
    </row>
    <row r="67" spans="1:9" ht="12.75">
      <c r="A67" s="90" t="s">
        <v>278</v>
      </c>
      <c r="B67" s="76" t="s">
        <v>33</v>
      </c>
      <c r="C67" s="34" t="s">
        <v>2</v>
      </c>
      <c r="D67" s="35" t="e">
        <f>'т1'!#REF!</f>
        <v>#REF!</v>
      </c>
      <c r="E67" s="28" t="e">
        <f>'т1'!#REF!+(('т1'!#REF!+'т1'!#REF!))/14946*'т1'!#REF!</f>
        <v>#REF!</v>
      </c>
      <c r="F67" s="27" t="s">
        <v>179</v>
      </c>
      <c r="G67" s="387"/>
      <c r="H67" s="387"/>
      <c r="I67" s="371"/>
    </row>
    <row r="68" spans="1:9" ht="12.75">
      <c r="A68" s="130" t="s">
        <v>314</v>
      </c>
      <c r="B68" s="5" t="s">
        <v>36</v>
      </c>
      <c r="C68" s="3" t="s">
        <v>6</v>
      </c>
      <c r="D68" s="39" t="e">
        <f>'т1'!#REF!+'т1'!#REF!</f>
        <v>#REF!</v>
      </c>
      <c r="E68" s="40" t="e">
        <f>'т1'!#REF!</f>
        <v>#REF!</v>
      </c>
      <c r="F68" s="38" t="s">
        <v>57</v>
      </c>
      <c r="G68" s="387"/>
      <c r="H68" s="387"/>
      <c r="I68" s="371"/>
    </row>
    <row r="69" spans="1:9" ht="13.5">
      <c r="A69" s="131" t="s">
        <v>5</v>
      </c>
      <c r="B69" s="73" t="s">
        <v>117</v>
      </c>
      <c r="C69" s="2" t="s">
        <v>25</v>
      </c>
      <c r="D69" s="103" t="e">
        <f>D70</f>
        <v>#REF!</v>
      </c>
      <c r="E69" s="33" t="e">
        <f>SUM(E70:E73)</f>
        <v>#REF!</v>
      </c>
      <c r="F69" s="32" t="s">
        <v>57</v>
      </c>
      <c r="G69" s="387"/>
      <c r="H69" s="387"/>
      <c r="I69" s="371"/>
    </row>
    <row r="70" spans="1:9" ht="12.75">
      <c r="A70" s="131" t="s">
        <v>7</v>
      </c>
      <c r="B70" s="76" t="s">
        <v>117</v>
      </c>
      <c r="C70" s="34" t="s">
        <v>25</v>
      </c>
      <c r="D70" s="35" t="e">
        <f>'т1'!#REF!</f>
        <v>#REF!</v>
      </c>
      <c r="E70" s="28" t="e">
        <f>'т1'!#REF!</f>
        <v>#REF!</v>
      </c>
      <c r="F70" s="27" t="s">
        <v>57</v>
      </c>
      <c r="G70" s="387"/>
      <c r="H70" s="387"/>
      <c r="I70" s="371"/>
    </row>
    <row r="71" spans="1:9" ht="12.75">
      <c r="A71" s="131" t="s">
        <v>9</v>
      </c>
      <c r="B71" s="76" t="s">
        <v>118</v>
      </c>
      <c r="C71" s="34" t="s">
        <v>2</v>
      </c>
      <c r="D71" s="35" t="e">
        <f>'т1'!#REF!</f>
        <v>#REF!</v>
      </c>
      <c r="E71" s="28" t="e">
        <f>'т1'!#REF!</f>
        <v>#REF!</v>
      </c>
      <c r="F71" s="27" t="s">
        <v>57</v>
      </c>
      <c r="G71" s="387"/>
      <c r="H71" s="387"/>
      <c r="I71" s="371"/>
    </row>
    <row r="72" spans="1:9" ht="12.75">
      <c r="A72" s="131" t="s">
        <v>315</v>
      </c>
      <c r="B72" s="76" t="s">
        <v>163</v>
      </c>
      <c r="C72" s="34" t="s">
        <v>2</v>
      </c>
      <c r="D72" s="35" t="e">
        <f>'т1'!#REF!</f>
        <v>#REF!</v>
      </c>
      <c r="E72" s="28" t="e">
        <f>'т1'!#REF!</f>
        <v>#REF!</v>
      </c>
      <c r="F72" s="27" t="s">
        <v>57</v>
      </c>
      <c r="G72" s="387"/>
      <c r="H72" s="387"/>
      <c r="I72" s="371"/>
    </row>
    <row r="73" spans="1:9" ht="12.75">
      <c r="A73" s="131" t="s">
        <v>316</v>
      </c>
      <c r="B73" s="76" t="s">
        <v>119</v>
      </c>
      <c r="C73" s="34" t="s">
        <v>2</v>
      </c>
      <c r="D73" s="35" t="e">
        <f>'т1'!#REF!</f>
        <v>#REF!</v>
      </c>
      <c r="E73" s="28" t="e">
        <f>'т1'!#REF!</f>
        <v>#REF!</v>
      </c>
      <c r="F73" s="27" t="s">
        <v>57</v>
      </c>
      <c r="G73" s="387"/>
      <c r="H73" s="387"/>
      <c r="I73" s="371"/>
    </row>
    <row r="74" spans="1:9" ht="10.5" customHeight="1">
      <c r="A74" s="4" t="s">
        <v>7</v>
      </c>
      <c r="B74" s="74" t="s">
        <v>123</v>
      </c>
      <c r="C74" s="93" t="s">
        <v>2</v>
      </c>
      <c r="D74" s="104"/>
      <c r="E74" s="98" t="e">
        <f>SUM(E75:E77)</f>
        <v>#REF!</v>
      </c>
      <c r="F74" s="92"/>
      <c r="G74" s="387"/>
      <c r="H74" s="387"/>
      <c r="I74" s="371"/>
    </row>
    <row r="75" spans="1:9" ht="12.75">
      <c r="A75" s="90" t="s">
        <v>8</v>
      </c>
      <c r="B75" s="76" t="s">
        <v>124</v>
      </c>
      <c r="C75" s="34" t="s">
        <v>2</v>
      </c>
      <c r="D75" s="35" t="e">
        <f>'т1'!#REF!</f>
        <v>#REF!</v>
      </c>
      <c r="E75" s="28" t="e">
        <f>'т1'!#REF!</f>
        <v>#REF!</v>
      </c>
      <c r="F75" s="27" t="s">
        <v>180</v>
      </c>
      <c r="G75" s="387"/>
      <c r="H75" s="387"/>
      <c r="I75" s="371"/>
    </row>
    <row r="76" spans="1:9" ht="12.75" customHeight="1">
      <c r="A76" s="90" t="s">
        <v>279</v>
      </c>
      <c r="B76" s="76" t="s">
        <v>232</v>
      </c>
      <c r="C76" s="34" t="s">
        <v>2</v>
      </c>
      <c r="D76" s="35" t="e">
        <f>'т1'!#REF!</f>
        <v>#REF!</v>
      </c>
      <c r="E76" s="28" t="e">
        <f>'т1'!#REF!</f>
        <v>#REF!</v>
      </c>
      <c r="F76" s="27" t="s">
        <v>181</v>
      </c>
      <c r="G76" s="387"/>
      <c r="H76" s="387"/>
      <c r="I76" s="371"/>
    </row>
    <row r="77" spans="1:9" ht="12.75">
      <c r="A77" s="90" t="s">
        <v>280</v>
      </c>
      <c r="B77" s="76" t="s">
        <v>125</v>
      </c>
      <c r="C77" s="34" t="s">
        <v>2</v>
      </c>
      <c r="D77" s="35" t="e">
        <f>'т1'!#REF!</f>
        <v>#REF!</v>
      </c>
      <c r="E77" s="28" t="e">
        <f>'т1'!#REF!</f>
        <v>#REF!</v>
      </c>
      <c r="F77" s="27" t="s">
        <v>180</v>
      </c>
      <c r="G77" s="387"/>
      <c r="H77" s="387"/>
      <c r="I77" s="371"/>
    </row>
    <row r="78" spans="1:9" ht="11.25" customHeight="1">
      <c r="A78" s="4" t="s">
        <v>9</v>
      </c>
      <c r="B78" s="74" t="s">
        <v>126</v>
      </c>
      <c r="C78" s="93" t="s">
        <v>25</v>
      </c>
      <c r="D78" s="104" t="e">
        <f>D81</f>
        <v>#REF!</v>
      </c>
      <c r="E78" s="98" t="e">
        <f>SUM(E79:E83)</f>
        <v>#REF!</v>
      </c>
      <c r="F78" s="105" t="s">
        <v>177</v>
      </c>
      <c r="G78" s="387"/>
      <c r="H78" s="387"/>
      <c r="I78" s="371"/>
    </row>
    <row r="79" spans="1:9" ht="12.75">
      <c r="A79" s="90" t="s">
        <v>281</v>
      </c>
      <c r="B79" s="76" t="s">
        <v>26</v>
      </c>
      <c r="C79" s="34" t="s">
        <v>2</v>
      </c>
      <c r="D79" s="35" t="e">
        <f>'т1'!#REF!</f>
        <v>#REF!</v>
      </c>
      <c r="E79" s="28" t="e">
        <f>'т1'!#REF!</f>
        <v>#REF!</v>
      </c>
      <c r="F79" s="27" t="s">
        <v>177</v>
      </c>
      <c r="G79" s="387"/>
      <c r="H79" s="387"/>
      <c r="I79" s="371"/>
    </row>
    <row r="80" spans="1:9" ht="12.75">
      <c r="A80" s="90" t="s">
        <v>282</v>
      </c>
      <c r="B80" s="76" t="s">
        <v>127</v>
      </c>
      <c r="C80" s="34" t="s">
        <v>2</v>
      </c>
      <c r="D80" s="35" t="e">
        <f>'т1'!#REF!</f>
        <v>#REF!</v>
      </c>
      <c r="E80" s="28" t="e">
        <f>'т1'!#REF!</f>
        <v>#REF!</v>
      </c>
      <c r="F80" s="27" t="s">
        <v>177</v>
      </c>
      <c r="G80" s="387"/>
      <c r="H80" s="387"/>
      <c r="I80" s="371"/>
    </row>
    <row r="81" spans="1:9" ht="12.75">
      <c r="A81" s="90" t="s">
        <v>283</v>
      </c>
      <c r="B81" s="76" t="s">
        <v>128</v>
      </c>
      <c r="C81" s="34" t="s">
        <v>2</v>
      </c>
      <c r="D81" s="35" t="e">
        <f>'т1'!#REF!</f>
        <v>#REF!</v>
      </c>
      <c r="E81" s="28" t="e">
        <f>'т1'!#REF!</f>
        <v>#REF!</v>
      </c>
      <c r="F81" s="27" t="s">
        <v>177</v>
      </c>
      <c r="G81" s="387"/>
      <c r="H81" s="387"/>
      <c r="I81" s="371"/>
    </row>
    <row r="82" spans="1:9" ht="25.5">
      <c r="A82" s="90" t="s">
        <v>284</v>
      </c>
      <c r="B82" s="76" t="s">
        <v>129</v>
      </c>
      <c r="C82" s="34" t="s">
        <v>25</v>
      </c>
      <c r="D82" s="35" t="e">
        <f>'т1'!#REF!</f>
        <v>#REF!</v>
      </c>
      <c r="E82" s="28" t="e">
        <f>'т1'!#REF!</f>
        <v>#REF!</v>
      </c>
      <c r="F82" s="27" t="s">
        <v>177</v>
      </c>
      <c r="G82" s="387"/>
      <c r="H82" s="387"/>
      <c r="I82" s="371"/>
    </row>
    <row r="83" spans="1:9" ht="12.75">
      <c r="A83" s="90" t="s">
        <v>285</v>
      </c>
      <c r="B83" s="76" t="s">
        <v>130</v>
      </c>
      <c r="C83" s="34" t="s">
        <v>173</v>
      </c>
      <c r="D83" s="35" t="e">
        <f>'т1'!#REF!</f>
        <v>#REF!</v>
      </c>
      <c r="E83" s="28" t="e">
        <f>'т1'!#REF!</f>
        <v>#REF!</v>
      </c>
      <c r="F83" s="27" t="s">
        <v>177</v>
      </c>
      <c r="G83" s="387"/>
      <c r="H83" s="387"/>
      <c r="I83" s="371"/>
    </row>
    <row r="84" spans="1:9" ht="10.5" customHeight="1">
      <c r="A84" s="4" t="s">
        <v>315</v>
      </c>
      <c r="B84" s="74" t="s">
        <v>131</v>
      </c>
      <c r="C84" s="93" t="s">
        <v>25</v>
      </c>
      <c r="D84" s="104" t="e">
        <f>D87+D90</f>
        <v>#REF!</v>
      </c>
      <c r="E84" s="98" t="e">
        <f>SUM(E85:E90)</f>
        <v>#REF!</v>
      </c>
      <c r="F84" s="105" t="s">
        <v>182</v>
      </c>
      <c r="G84" s="387"/>
      <c r="H84" s="387"/>
      <c r="I84" s="371"/>
    </row>
    <row r="85" spans="1:9" ht="12.75">
      <c r="A85" s="90" t="s">
        <v>11</v>
      </c>
      <c r="B85" s="76" t="s">
        <v>132</v>
      </c>
      <c r="C85" s="34" t="s">
        <v>2</v>
      </c>
      <c r="D85" s="35" t="e">
        <f>'т1'!#REF!</f>
        <v>#REF!</v>
      </c>
      <c r="E85" s="28" t="e">
        <f>'т1'!#REF!</f>
        <v>#REF!</v>
      </c>
      <c r="F85" s="27" t="s">
        <v>182</v>
      </c>
      <c r="G85" s="387"/>
      <c r="H85" s="387"/>
      <c r="I85" s="371"/>
    </row>
    <row r="86" spans="1:9" ht="12.75">
      <c r="A86" s="90" t="s">
        <v>12</v>
      </c>
      <c r="B86" s="96" t="s">
        <v>164</v>
      </c>
      <c r="C86" s="34" t="s">
        <v>2</v>
      </c>
      <c r="D86" s="35" t="e">
        <f>'т1'!#REF!</f>
        <v>#REF!</v>
      </c>
      <c r="E86" s="28" t="e">
        <f>'т1'!#REF!</f>
        <v>#REF!</v>
      </c>
      <c r="F86" s="27" t="s">
        <v>182</v>
      </c>
      <c r="G86" s="387"/>
      <c r="H86" s="387"/>
      <c r="I86" s="371"/>
    </row>
    <row r="87" spans="1:9" ht="12.75">
      <c r="A87" s="90" t="s">
        <v>13</v>
      </c>
      <c r="B87" s="76" t="s">
        <v>133</v>
      </c>
      <c r="C87" s="34" t="s">
        <v>25</v>
      </c>
      <c r="D87" s="35" t="e">
        <f>'т1'!#REF!</f>
        <v>#REF!</v>
      </c>
      <c r="E87" s="28" t="e">
        <f>'т1'!#REF!</f>
        <v>#REF!</v>
      </c>
      <c r="F87" s="27" t="s">
        <v>182</v>
      </c>
      <c r="G87" s="387"/>
      <c r="H87" s="387"/>
      <c r="I87" s="371"/>
    </row>
    <row r="88" spans="1:9" ht="12.75">
      <c r="A88" s="90" t="s">
        <v>14</v>
      </c>
      <c r="B88" s="76" t="s">
        <v>134</v>
      </c>
      <c r="C88" s="34" t="s">
        <v>2</v>
      </c>
      <c r="D88" s="35" t="e">
        <f>'т1'!#REF!</f>
        <v>#REF!</v>
      </c>
      <c r="E88" s="28" t="e">
        <f>'т1'!#REF!</f>
        <v>#REF!</v>
      </c>
      <c r="F88" s="27" t="s">
        <v>182</v>
      </c>
      <c r="G88" s="387"/>
      <c r="H88" s="387"/>
      <c r="I88" s="371"/>
    </row>
    <row r="89" spans="1:9" ht="12.75">
      <c r="A89" s="90" t="s">
        <v>15</v>
      </c>
      <c r="B89" s="96" t="s">
        <v>164</v>
      </c>
      <c r="C89" s="34" t="s">
        <v>2</v>
      </c>
      <c r="D89" s="35" t="e">
        <f>'т1'!#REF!</f>
        <v>#REF!</v>
      </c>
      <c r="E89" s="28" t="e">
        <f>'т1'!#REF!</f>
        <v>#REF!</v>
      </c>
      <c r="F89" s="27" t="s">
        <v>182</v>
      </c>
      <c r="G89" s="387"/>
      <c r="H89" s="387"/>
      <c r="I89" s="371"/>
    </row>
    <row r="90" spans="1:9" ht="12.75">
      <c r="A90" s="90" t="s">
        <v>16</v>
      </c>
      <c r="B90" s="76" t="s">
        <v>135</v>
      </c>
      <c r="C90" s="34" t="s">
        <v>25</v>
      </c>
      <c r="D90" s="35" t="e">
        <f>'т1'!#REF!</f>
        <v>#REF!</v>
      </c>
      <c r="E90" s="28" t="e">
        <f>'т1'!#REF!</f>
        <v>#REF!</v>
      </c>
      <c r="F90" s="27" t="s">
        <v>182</v>
      </c>
      <c r="G90" s="387"/>
      <c r="H90" s="387"/>
      <c r="I90" s="371"/>
    </row>
    <row r="91" spans="1:9" ht="12" customHeight="1">
      <c r="A91" s="4" t="s">
        <v>158</v>
      </c>
      <c r="B91" s="74" t="s">
        <v>136</v>
      </c>
      <c r="C91" s="93" t="s">
        <v>25</v>
      </c>
      <c r="D91" s="104" t="e">
        <f>D96</f>
        <v>#REF!</v>
      </c>
      <c r="E91" s="98" t="e">
        <f>SUM(E92:E96)</f>
        <v>#REF!</v>
      </c>
      <c r="F91" s="105" t="s">
        <v>182</v>
      </c>
      <c r="G91" s="387"/>
      <c r="H91" s="387"/>
      <c r="I91" s="371"/>
    </row>
    <row r="92" spans="1:9" ht="12.75">
      <c r="A92" s="90" t="s">
        <v>17</v>
      </c>
      <c r="B92" s="76" t="s">
        <v>137</v>
      </c>
      <c r="C92" s="34" t="s">
        <v>2</v>
      </c>
      <c r="D92" s="35" t="e">
        <f>'т1'!#REF!</f>
        <v>#REF!</v>
      </c>
      <c r="E92" s="28" t="e">
        <f>'т1'!#REF!</f>
        <v>#REF!</v>
      </c>
      <c r="F92" s="27" t="s">
        <v>182</v>
      </c>
      <c r="G92" s="387"/>
      <c r="H92" s="387"/>
      <c r="I92" s="371"/>
    </row>
    <row r="93" spans="1:9" ht="12.75">
      <c r="A93" s="90" t="s">
        <v>18</v>
      </c>
      <c r="B93" s="76" t="s">
        <v>127</v>
      </c>
      <c r="C93" s="34" t="s">
        <v>2</v>
      </c>
      <c r="D93" s="35" t="e">
        <f>'т1'!#REF!</f>
        <v>#REF!</v>
      </c>
      <c r="E93" s="28" t="e">
        <f>'т1'!#REF!</f>
        <v>#REF!</v>
      </c>
      <c r="F93" s="27" t="s">
        <v>182</v>
      </c>
      <c r="G93" s="387"/>
      <c r="H93" s="387"/>
      <c r="I93" s="371"/>
    </row>
    <row r="94" spans="1:9" ht="12.75">
      <c r="A94" s="90" t="s">
        <v>19</v>
      </c>
      <c r="B94" s="76" t="s">
        <v>27</v>
      </c>
      <c r="C94" s="34" t="s">
        <v>25</v>
      </c>
      <c r="D94" s="35" t="e">
        <f>'т1'!#REF!</f>
        <v>#REF!</v>
      </c>
      <c r="E94" s="28" t="e">
        <f>'т1'!#REF!</f>
        <v>#REF!</v>
      </c>
      <c r="F94" s="27" t="s">
        <v>182</v>
      </c>
      <c r="G94" s="387"/>
      <c r="H94" s="387"/>
      <c r="I94" s="371"/>
    </row>
    <row r="95" spans="1:9" ht="25.5">
      <c r="A95" s="90" t="s">
        <v>20</v>
      </c>
      <c r="B95" s="76" t="s">
        <v>138</v>
      </c>
      <c r="C95" s="34" t="s">
        <v>25</v>
      </c>
      <c r="D95" s="35" t="e">
        <f>'т1'!#REF!</f>
        <v>#REF!</v>
      </c>
      <c r="E95" s="28" t="e">
        <f>'т1'!#REF!</f>
        <v>#REF!</v>
      </c>
      <c r="F95" s="27" t="s">
        <v>182</v>
      </c>
      <c r="G95" s="387"/>
      <c r="H95" s="387"/>
      <c r="I95" s="371"/>
    </row>
    <row r="96" spans="1:9" ht="12.75">
      <c r="A96" s="90" t="s">
        <v>21</v>
      </c>
      <c r="B96" s="76" t="s">
        <v>139</v>
      </c>
      <c r="C96" s="34" t="s">
        <v>25</v>
      </c>
      <c r="D96" s="35" t="e">
        <f>'т1'!#REF!</f>
        <v>#REF!</v>
      </c>
      <c r="E96" s="28" t="e">
        <f>'т1'!#REF!</f>
        <v>#REF!</v>
      </c>
      <c r="F96" s="27" t="s">
        <v>182</v>
      </c>
      <c r="G96" s="387"/>
      <c r="H96" s="387"/>
      <c r="I96" s="371"/>
    </row>
    <row r="97" spans="1:9" ht="11.25" customHeight="1">
      <c r="A97" s="4" t="s">
        <v>159</v>
      </c>
      <c r="B97" s="74" t="s">
        <v>140</v>
      </c>
      <c r="C97" s="93" t="s">
        <v>25</v>
      </c>
      <c r="D97" s="104" t="e">
        <f>D98+D101</f>
        <v>#REF!</v>
      </c>
      <c r="E97" s="98" t="e">
        <f>E98+E101</f>
        <v>#REF!</v>
      </c>
      <c r="F97" s="105" t="s">
        <v>180</v>
      </c>
      <c r="G97" s="387"/>
      <c r="H97" s="387"/>
      <c r="I97" s="371"/>
    </row>
    <row r="98" spans="1:9" ht="10.5" customHeight="1">
      <c r="A98" s="75" t="s">
        <v>317</v>
      </c>
      <c r="B98" s="72" t="s">
        <v>141</v>
      </c>
      <c r="C98" s="2" t="s">
        <v>25</v>
      </c>
      <c r="D98" s="103" t="e">
        <f>D99</f>
        <v>#REF!</v>
      </c>
      <c r="E98" s="33" t="e">
        <f>SUM(E99:E100)</f>
        <v>#REF!</v>
      </c>
      <c r="F98" s="32" t="s">
        <v>180</v>
      </c>
      <c r="G98" s="387"/>
      <c r="H98" s="387"/>
      <c r="I98" s="371"/>
    </row>
    <row r="99" spans="1:9" ht="12.75">
      <c r="A99" s="90" t="s">
        <v>318</v>
      </c>
      <c r="B99" s="76" t="s">
        <v>142</v>
      </c>
      <c r="C99" s="34" t="s">
        <v>25</v>
      </c>
      <c r="D99" s="35" t="e">
        <f>'т1'!#REF!</f>
        <v>#REF!</v>
      </c>
      <c r="E99" s="28" t="e">
        <f>'т1'!#REF!</f>
        <v>#REF!</v>
      </c>
      <c r="F99" s="27" t="s">
        <v>180</v>
      </c>
      <c r="G99" s="387"/>
      <c r="H99" s="387"/>
      <c r="I99" s="371"/>
    </row>
    <row r="100" spans="1:9" ht="12.75">
      <c r="A100" s="90" t="s">
        <v>319</v>
      </c>
      <c r="B100" s="76" t="s">
        <v>143</v>
      </c>
      <c r="C100" s="34" t="s">
        <v>2</v>
      </c>
      <c r="D100" s="35" t="e">
        <f>'т1'!#REF!</f>
        <v>#REF!</v>
      </c>
      <c r="E100" s="28" t="e">
        <f>'т1'!#REF!</f>
        <v>#REF!</v>
      </c>
      <c r="F100" s="27" t="s">
        <v>180</v>
      </c>
      <c r="G100" s="387"/>
      <c r="H100" s="387"/>
      <c r="I100" s="371"/>
    </row>
    <row r="101" spans="1:9" ht="11.25" customHeight="1">
      <c r="A101" s="75" t="s">
        <v>160</v>
      </c>
      <c r="B101" s="72" t="s">
        <v>144</v>
      </c>
      <c r="C101" s="2" t="s">
        <v>25</v>
      </c>
      <c r="D101" s="103" t="e">
        <f>D102</f>
        <v>#REF!</v>
      </c>
      <c r="E101" s="33" t="e">
        <f>SUM(E102:E108)</f>
        <v>#REF!</v>
      </c>
      <c r="F101" s="32" t="s">
        <v>183</v>
      </c>
      <c r="G101" s="387"/>
      <c r="H101" s="387"/>
      <c r="I101" s="371"/>
    </row>
    <row r="102" spans="1:9" ht="12.75">
      <c r="A102" s="90" t="s">
        <v>320</v>
      </c>
      <c r="B102" s="76" t="s">
        <v>142</v>
      </c>
      <c r="C102" s="34" t="s">
        <v>25</v>
      </c>
      <c r="D102" s="35" t="e">
        <f>'т1'!#REF!</f>
        <v>#REF!</v>
      </c>
      <c r="E102" s="28" t="e">
        <f>'т1'!#REF!</f>
        <v>#REF!</v>
      </c>
      <c r="F102" s="27" t="s">
        <v>183</v>
      </c>
      <c r="G102" s="387"/>
      <c r="H102" s="387"/>
      <c r="I102" s="371"/>
    </row>
    <row r="103" spans="1:9" ht="12.75">
      <c r="A103" s="90" t="s">
        <v>321</v>
      </c>
      <c r="B103" s="76" t="s">
        <v>143</v>
      </c>
      <c r="C103" s="34" t="s">
        <v>2</v>
      </c>
      <c r="D103" s="35" t="e">
        <f>'т1'!#REF!</f>
        <v>#REF!</v>
      </c>
      <c r="E103" s="28" t="e">
        <f>'т1'!#REF!</f>
        <v>#REF!</v>
      </c>
      <c r="F103" s="27" t="s">
        <v>183</v>
      </c>
      <c r="G103" s="387"/>
      <c r="H103" s="387"/>
      <c r="I103" s="371"/>
    </row>
    <row r="104" spans="1:9" ht="12.75">
      <c r="A104" s="90" t="s">
        <v>322</v>
      </c>
      <c r="B104" s="76" t="s">
        <v>145</v>
      </c>
      <c r="C104" s="34" t="s">
        <v>2</v>
      </c>
      <c r="D104" s="35" t="e">
        <f>'т1'!#REF!</f>
        <v>#REF!</v>
      </c>
      <c r="E104" s="28" t="e">
        <f>'т1'!#REF!</f>
        <v>#REF!</v>
      </c>
      <c r="F104" s="27" t="s">
        <v>183</v>
      </c>
      <c r="G104" s="387"/>
      <c r="H104" s="387"/>
      <c r="I104" s="371"/>
    </row>
    <row r="105" spans="1:9" ht="12.75">
      <c r="A105" s="90" t="s">
        <v>323</v>
      </c>
      <c r="B105" s="76" t="s">
        <v>146</v>
      </c>
      <c r="C105" s="34" t="s">
        <v>2</v>
      </c>
      <c r="D105" s="35" t="e">
        <f>'т1'!#REF!</f>
        <v>#REF!</v>
      </c>
      <c r="E105" s="28" t="e">
        <f>'т1'!#REF!</f>
        <v>#REF!</v>
      </c>
      <c r="F105" s="27" t="s">
        <v>183</v>
      </c>
      <c r="G105" s="387"/>
      <c r="H105" s="387"/>
      <c r="I105" s="371"/>
    </row>
    <row r="106" spans="1:9" ht="12.75">
      <c r="A106" s="90" t="s">
        <v>324</v>
      </c>
      <c r="B106" s="76" t="s">
        <v>147</v>
      </c>
      <c r="C106" s="34" t="s">
        <v>2</v>
      </c>
      <c r="D106" s="35" t="e">
        <f>'т1'!#REF!</f>
        <v>#REF!</v>
      </c>
      <c r="E106" s="28" t="e">
        <f>'т1'!#REF!</f>
        <v>#REF!</v>
      </c>
      <c r="F106" s="27" t="s">
        <v>183</v>
      </c>
      <c r="G106" s="387"/>
      <c r="H106" s="387"/>
      <c r="I106" s="371"/>
    </row>
    <row r="107" spans="1:9" ht="12.75">
      <c r="A107" s="90" t="s">
        <v>325</v>
      </c>
      <c r="B107" s="76" t="s">
        <v>163</v>
      </c>
      <c r="C107" s="34" t="s">
        <v>2</v>
      </c>
      <c r="D107" s="35" t="e">
        <f>'т1'!#REF!</f>
        <v>#REF!</v>
      </c>
      <c r="E107" s="28" t="e">
        <f>'т1'!#REF!</f>
        <v>#REF!</v>
      </c>
      <c r="F107" s="27" t="s">
        <v>183</v>
      </c>
      <c r="G107" s="387"/>
      <c r="H107" s="387"/>
      <c r="I107" s="371"/>
    </row>
    <row r="108" spans="1:9" ht="12.75">
      <c r="A108" s="90" t="s">
        <v>326</v>
      </c>
      <c r="B108" s="76" t="s">
        <v>148</v>
      </c>
      <c r="C108" s="34" t="s">
        <v>2</v>
      </c>
      <c r="D108" s="35" t="e">
        <f>'т1'!#REF!</f>
        <v>#REF!</v>
      </c>
      <c r="E108" s="28" t="e">
        <f>'т1'!#REF!</f>
        <v>#REF!</v>
      </c>
      <c r="F108" s="27" t="s">
        <v>183</v>
      </c>
      <c r="G108" s="387"/>
      <c r="H108" s="387"/>
      <c r="I108" s="371"/>
    </row>
    <row r="109" spans="1:9" ht="24">
      <c r="A109" s="38" t="s">
        <v>327</v>
      </c>
      <c r="B109" s="123" t="s">
        <v>312</v>
      </c>
      <c r="C109" s="93" t="s">
        <v>6</v>
      </c>
      <c r="D109" s="104" t="e">
        <f>'т1'!#REF!</f>
        <v>#REF!</v>
      </c>
      <c r="E109" s="98" t="e">
        <f>'т1'!#REF!</f>
        <v>#REF!</v>
      </c>
      <c r="F109" s="105" t="s">
        <v>313</v>
      </c>
      <c r="G109" s="127" t="s">
        <v>306</v>
      </c>
      <c r="H109" s="127" t="s">
        <v>307</v>
      </c>
      <c r="I109" s="124"/>
    </row>
    <row r="110" spans="1:9" ht="27">
      <c r="A110" s="23" t="s">
        <v>161</v>
      </c>
      <c r="B110" s="117" t="s">
        <v>228</v>
      </c>
      <c r="C110" s="121" t="s">
        <v>170</v>
      </c>
      <c r="D110" s="122" t="e">
        <f>E110</f>
        <v>#REF!</v>
      </c>
      <c r="E110" s="78" t="e">
        <f>SUM(E111:E112)</f>
        <v>#REF!</v>
      </c>
      <c r="F110" s="41" t="s">
        <v>231</v>
      </c>
      <c r="G110" s="31" t="s">
        <v>58</v>
      </c>
      <c r="H110" s="19" t="s">
        <v>59</v>
      </c>
      <c r="I110" s="383"/>
    </row>
    <row r="111" spans="1:9" ht="12.75">
      <c r="A111" s="115" t="s">
        <v>328</v>
      </c>
      <c r="B111" s="10" t="s">
        <v>230</v>
      </c>
      <c r="C111" s="69" t="s">
        <v>2</v>
      </c>
      <c r="D111" s="69" t="e">
        <f>#REF!</f>
        <v>#REF!</v>
      </c>
      <c r="E111" s="114" t="e">
        <f>#REF!</f>
        <v>#REF!</v>
      </c>
      <c r="F111" s="116"/>
      <c r="G111" s="125"/>
      <c r="H111" s="126"/>
      <c r="I111" s="383"/>
    </row>
    <row r="112" spans="1:9" ht="12.75">
      <c r="A112" s="115" t="s">
        <v>22</v>
      </c>
      <c r="B112" s="10" t="s">
        <v>229</v>
      </c>
      <c r="C112" s="69" t="s">
        <v>2</v>
      </c>
      <c r="D112" s="69" t="e">
        <f>#REF!</f>
        <v>#REF!</v>
      </c>
      <c r="E112" s="114" t="e">
        <f>#REF!</f>
        <v>#REF!</v>
      </c>
      <c r="F112" s="116"/>
      <c r="G112" s="125"/>
      <c r="H112" s="126"/>
      <c r="I112" s="383"/>
    </row>
    <row r="113" spans="1:9" ht="52.5" customHeight="1">
      <c r="A113" s="42" t="s">
        <v>60</v>
      </c>
      <c r="B113" s="82" t="s">
        <v>149</v>
      </c>
      <c r="C113" s="16" t="s">
        <v>1</v>
      </c>
      <c r="D113" s="16" t="e">
        <f>E113</f>
        <v>#REF!</v>
      </c>
      <c r="E113" s="16" t="e">
        <f>SUM(E114:E115)</f>
        <v>#REF!</v>
      </c>
      <c r="F113" s="18" t="s">
        <v>184</v>
      </c>
      <c r="G113" s="43" t="s">
        <v>224</v>
      </c>
      <c r="H113" s="18" t="s">
        <v>61</v>
      </c>
      <c r="I113" s="44"/>
    </row>
    <row r="114" spans="1:9" ht="12.75">
      <c r="A114" s="20" t="s">
        <v>62</v>
      </c>
      <c r="B114" s="83" t="s">
        <v>329</v>
      </c>
      <c r="C114" s="26" t="s">
        <v>6</v>
      </c>
      <c r="D114" s="24" t="e">
        <f>'т1'!#REF!+'т1'!#REF!+'т1'!#REF!+'т1'!#REF!</f>
        <v>#REF!</v>
      </c>
      <c r="E114" s="21" t="e">
        <f>'т1'!#REF!+'т1'!#REF!+'т1'!#REF!+'т1'!#REF!</f>
        <v>#REF!</v>
      </c>
      <c r="F114" s="22"/>
      <c r="G114" s="384"/>
      <c r="H114" s="385"/>
      <c r="I114" s="375"/>
    </row>
    <row r="115" spans="1:9" ht="12.75">
      <c r="A115" s="22" t="s">
        <v>63</v>
      </c>
      <c r="B115" s="83" t="s">
        <v>150</v>
      </c>
      <c r="C115" s="26" t="s">
        <v>64</v>
      </c>
      <c r="D115" s="45" t="e">
        <f>E115</f>
        <v>#REF!</v>
      </c>
      <c r="E115" s="21" t="e">
        <f>'т1'!#REF!</f>
        <v>#REF!</v>
      </c>
      <c r="F115" s="22"/>
      <c r="G115" s="384"/>
      <c r="H115" s="385"/>
      <c r="I115" s="376"/>
    </row>
    <row r="116" spans="1:9" ht="37.5" customHeight="1">
      <c r="A116" s="18" t="s">
        <v>65</v>
      </c>
      <c r="B116" s="18" t="s">
        <v>151</v>
      </c>
      <c r="C116" s="18" t="s">
        <v>1</v>
      </c>
      <c r="D116" s="16" t="e">
        <f>E116</f>
        <v>#REF!</v>
      </c>
      <c r="E116" s="16" t="e">
        <f>SUM(E118:E121)</f>
        <v>#REF!</v>
      </c>
      <c r="F116" s="18" t="s">
        <v>57</v>
      </c>
      <c r="G116" s="18" t="s">
        <v>66</v>
      </c>
      <c r="H116" s="18" t="s">
        <v>152</v>
      </c>
      <c r="I116" s="44"/>
    </row>
    <row r="117" spans="1:9" ht="12.75" customHeight="1">
      <c r="A117" s="50" t="s">
        <v>37</v>
      </c>
      <c r="B117" s="46" t="s">
        <v>153</v>
      </c>
      <c r="C117" s="36" t="s">
        <v>170</v>
      </c>
      <c r="D117" s="51" t="e">
        <f>E117</f>
        <v>#REF!</v>
      </c>
      <c r="E117" s="36" t="e">
        <f>'т1'!#REF!+'т1'!#REF!+'т1'!#REF!+'т1'!#REF!</f>
        <v>#REF!</v>
      </c>
      <c r="F117" s="22" t="s">
        <v>57</v>
      </c>
      <c r="G117" s="388" t="s">
        <v>66</v>
      </c>
      <c r="H117" s="388" t="s">
        <v>152</v>
      </c>
      <c r="I117" s="372"/>
    </row>
    <row r="118" spans="1:9" ht="13.5" customHeight="1">
      <c r="A118" s="22" t="s">
        <v>68</v>
      </c>
      <c r="B118" s="84" t="s">
        <v>154</v>
      </c>
      <c r="C118" s="26" t="s">
        <v>2</v>
      </c>
      <c r="D118" s="47" t="e">
        <f>'т1'!#REF!+'т1'!#REF!+'т1'!#REF!</f>
        <v>#REF!</v>
      </c>
      <c r="E118" s="21" t="e">
        <f>'т1'!#REF!+'т1'!#REF!</f>
        <v>#REF!</v>
      </c>
      <c r="F118" s="22" t="s">
        <v>57</v>
      </c>
      <c r="G118" s="389"/>
      <c r="H118" s="389"/>
      <c r="I118" s="373"/>
    </row>
    <row r="119" spans="1:9" ht="13.5" customHeight="1">
      <c r="A119" s="22" t="s">
        <v>69</v>
      </c>
      <c r="B119" s="46" t="s">
        <v>155</v>
      </c>
      <c r="C119" s="26" t="s">
        <v>6</v>
      </c>
      <c r="D119" s="28" t="e">
        <f>'т1'!#REF!+'т1'!#REF!</f>
        <v>#REF!</v>
      </c>
      <c r="E119" s="21" t="e">
        <f>'т1'!#REF!+'т1'!#REF!</f>
        <v>#REF!</v>
      </c>
      <c r="F119" s="22" t="s">
        <v>57</v>
      </c>
      <c r="G119" s="389"/>
      <c r="H119" s="389"/>
      <c r="I119" s="373"/>
    </row>
    <row r="120" spans="1:9" ht="15" customHeight="1">
      <c r="A120" s="22" t="s">
        <v>70</v>
      </c>
      <c r="B120" s="46" t="s">
        <v>333</v>
      </c>
      <c r="C120" s="26" t="s">
        <v>6</v>
      </c>
      <c r="D120" s="28" t="e">
        <f>'т1'!#REF!</f>
        <v>#REF!</v>
      </c>
      <c r="E120" s="21" t="e">
        <f>'т1'!#REF!</f>
        <v>#REF!</v>
      </c>
      <c r="F120" s="22" t="s">
        <v>57</v>
      </c>
      <c r="G120" s="389"/>
      <c r="H120" s="389"/>
      <c r="I120" s="373"/>
    </row>
    <row r="121" spans="1:9" ht="12.75" customHeight="1">
      <c r="A121" s="22" t="s">
        <v>71</v>
      </c>
      <c r="B121" s="46" t="s">
        <v>156</v>
      </c>
      <c r="C121" s="26" t="s">
        <v>6</v>
      </c>
      <c r="D121" s="28" t="e">
        <f>'т1'!#REF!</f>
        <v>#REF!</v>
      </c>
      <c r="E121" s="21" t="e">
        <f>'т1'!#REF!</f>
        <v>#REF!</v>
      </c>
      <c r="F121" s="22" t="s">
        <v>57</v>
      </c>
      <c r="G121" s="390"/>
      <c r="H121" s="390"/>
      <c r="I121" s="374"/>
    </row>
    <row r="122" spans="1:9" ht="40.5" customHeight="1">
      <c r="A122" s="18" t="s">
        <v>72</v>
      </c>
      <c r="B122" s="18" t="s">
        <v>157</v>
      </c>
      <c r="C122" s="18" t="s">
        <v>1</v>
      </c>
      <c r="D122" s="16" t="e">
        <f>E122</f>
        <v>#REF!</v>
      </c>
      <c r="E122" s="16" t="e">
        <f>SUM(E123:E137)</f>
        <v>#REF!</v>
      </c>
      <c r="F122" s="18" t="s">
        <v>73</v>
      </c>
      <c r="G122" s="18" t="s">
        <v>74</v>
      </c>
      <c r="H122" s="18" t="s">
        <v>75</v>
      </c>
      <c r="I122" s="48"/>
    </row>
    <row r="123" spans="1:9" ht="36.75" customHeight="1">
      <c r="A123" s="49" t="s">
        <v>38</v>
      </c>
      <c r="B123" s="50" t="s">
        <v>335</v>
      </c>
      <c r="C123" s="50" t="s">
        <v>76</v>
      </c>
      <c r="D123" s="50" t="e">
        <f>'т1'!#REF!/10</f>
        <v>#REF!</v>
      </c>
      <c r="E123" s="51" t="e">
        <f>'т1'!#REF!</f>
        <v>#REF!</v>
      </c>
      <c r="F123" s="50" t="s">
        <v>57</v>
      </c>
      <c r="G123" s="50" t="s">
        <v>74</v>
      </c>
      <c r="H123" s="50" t="s">
        <v>75</v>
      </c>
      <c r="I123" s="50"/>
    </row>
    <row r="124" spans="1:9" ht="30.75" customHeight="1">
      <c r="A124" s="49" t="s">
        <v>39</v>
      </c>
      <c r="B124" s="50" t="s">
        <v>336</v>
      </c>
      <c r="C124" s="50" t="s">
        <v>76</v>
      </c>
      <c r="D124" s="99" t="e">
        <f>'т1'!#REF!+'т1'!#REF!</f>
        <v>#REF!</v>
      </c>
      <c r="E124" s="51" t="e">
        <f>'т1'!#REF!+'т1'!#REF!</f>
        <v>#REF!</v>
      </c>
      <c r="F124" s="50" t="s">
        <v>57</v>
      </c>
      <c r="G124" s="50" t="s">
        <v>74</v>
      </c>
      <c r="H124" s="50" t="s">
        <v>75</v>
      </c>
      <c r="I124" s="50"/>
    </row>
    <row r="125" spans="1:9" ht="34.5" customHeight="1">
      <c r="A125" s="49" t="s">
        <v>40</v>
      </c>
      <c r="B125" s="50" t="s">
        <v>171</v>
      </c>
      <c r="C125" s="50" t="s">
        <v>76</v>
      </c>
      <c r="D125" s="52">
        <v>6</v>
      </c>
      <c r="E125" s="51" t="e">
        <f>'т1'!#REF!</f>
        <v>#REF!</v>
      </c>
      <c r="F125" s="50" t="s">
        <v>57</v>
      </c>
      <c r="G125" s="50" t="s">
        <v>74</v>
      </c>
      <c r="H125" s="50" t="s">
        <v>75</v>
      </c>
      <c r="I125" s="50"/>
    </row>
    <row r="126" spans="1:9" ht="26.25" customHeight="1">
      <c r="A126" s="49" t="s">
        <v>77</v>
      </c>
      <c r="B126" s="50" t="s">
        <v>172</v>
      </c>
      <c r="C126" s="50" t="s">
        <v>76</v>
      </c>
      <c r="D126" s="53">
        <v>0.289</v>
      </c>
      <c r="E126" s="51" t="e">
        <f>'т1'!#REF!</f>
        <v>#REF!</v>
      </c>
      <c r="F126" s="50" t="s">
        <v>57</v>
      </c>
      <c r="G126" s="50" t="s">
        <v>74</v>
      </c>
      <c r="H126" s="50" t="s">
        <v>75</v>
      </c>
      <c r="I126" s="50"/>
    </row>
    <row r="127" spans="1:9" ht="39" customHeight="1">
      <c r="A127" s="49" t="s">
        <v>78</v>
      </c>
      <c r="B127" s="52" t="s">
        <v>304</v>
      </c>
      <c r="C127" s="52" t="s">
        <v>76</v>
      </c>
      <c r="D127" s="52">
        <v>3.2</v>
      </c>
      <c r="E127" s="51" t="e">
        <f>'т1'!#REF!</f>
        <v>#REF!</v>
      </c>
      <c r="F127" s="50" t="s">
        <v>57</v>
      </c>
      <c r="G127" s="50" t="s">
        <v>74</v>
      </c>
      <c r="H127" s="50" t="s">
        <v>75</v>
      </c>
      <c r="I127" s="50"/>
    </row>
    <row r="128" spans="1:9" ht="12.75">
      <c r="A128" s="26" t="s">
        <v>79</v>
      </c>
      <c r="B128" s="26" t="s">
        <v>80</v>
      </c>
      <c r="C128" s="26" t="s">
        <v>6</v>
      </c>
      <c r="D128" s="1" t="e">
        <f>'т1'!#REF!+'т1'!#REF!</f>
        <v>#REF!</v>
      </c>
      <c r="E128" s="45" t="e">
        <f>'т1'!#REF!</f>
        <v>#REF!</v>
      </c>
      <c r="F128" s="54" t="s">
        <v>57</v>
      </c>
      <c r="G128" s="377" t="s">
        <v>74</v>
      </c>
      <c r="H128" s="377" t="s">
        <v>75</v>
      </c>
      <c r="I128" s="26"/>
    </row>
    <row r="129" spans="1:9" ht="22.5">
      <c r="A129" s="26" t="s">
        <v>81</v>
      </c>
      <c r="B129" s="26" t="s">
        <v>339</v>
      </c>
      <c r="C129" s="26" t="s">
        <v>76</v>
      </c>
      <c r="D129" s="1" t="e">
        <f>'т1'!#REF!</f>
        <v>#REF!</v>
      </c>
      <c r="E129" s="36" t="e">
        <f>'т1'!#REF!</f>
        <v>#REF!</v>
      </c>
      <c r="F129" s="54" t="s">
        <v>57</v>
      </c>
      <c r="G129" s="377"/>
      <c r="H129" s="377"/>
      <c r="I129" s="26"/>
    </row>
    <row r="130" spans="1:9" ht="12.75">
      <c r="A130" s="26" t="s">
        <v>340</v>
      </c>
      <c r="B130" s="26" t="s">
        <v>341</v>
      </c>
      <c r="C130" s="26" t="s">
        <v>6</v>
      </c>
      <c r="D130" s="1" t="e">
        <f>'т1'!#REF!</f>
        <v>#REF!</v>
      </c>
      <c r="E130" s="36" t="e">
        <f>'т1'!#REF!</f>
        <v>#REF!</v>
      </c>
      <c r="F130" s="54" t="s">
        <v>57</v>
      </c>
      <c r="G130" s="26"/>
      <c r="H130" s="26"/>
      <c r="I130" s="128"/>
    </row>
    <row r="131" spans="1:9" ht="22.5" customHeight="1">
      <c r="A131" s="26" t="s">
        <v>82</v>
      </c>
      <c r="B131" s="1" t="s">
        <v>83</v>
      </c>
      <c r="C131" s="26" t="s">
        <v>64</v>
      </c>
      <c r="D131" s="36" t="e">
        <f>E131</f>
        <v>#REF!</v>
      </c>
      <c r="E131" s="36" t="e">
        <f>#REF!</f>
        <v>#REF!</v>
      </c>
      <c r="F131" s="26" t="s">
        <v>57</v>
      </c>
      <c r="G131" s="377" t="s">
        <v>84</v>
      </c>
      <c r="H131" s="377" t="s">
        <v>75</v>
      </c>
      <c r="I131" s="378"/>
    </row>
    <row r="132" spans="1:9" ht="12.75">
      <c r="A132" s="26" t="s">
        <v>85</v>
      </c>
      <c r="B132" s="1" t="s">
        <v>86</v>
      </c>
      <c r="C132" s="26" t="s">
        <v>64</v>
      </c>
      <c r="D132" s="36" t="e">
        <f>E132</f>
        <v>#REF!</v>
      </c>
      <c r="E132" s="36" t="e">
        <f>#REF!</f>
        <v>#REF!</v>
      </c>
      <c r="F132" s="26" t="s">
        <v>185</v>
      </c>
      <c r="G132" s="377"/>
      <c r="H132" s="377"/>
      <c r="I132" s="379"/>
    </row>
    <row r="133" spans="1:9" ht="12.75">
      <c r="A133" s="26" t="s">
        <v>87</v>
      </c>
      <c r="B133" s="1" t="s">
        <v>23</v>
      </c>
      <c r="C133" s="26" t="s">
        <v>10</v>
      </c>
      <c r="D133" s="55" t="e">
        <f>E133</f>
        <v>#REF!</v>
      </c>
      <c r="E133" s="36" t="e">
        <f>SUM(E134:E136)</f>
        <v>#REF!</v>
      </c>
      <c r="F133" s="26" t="s">
        <v>57</v>
      </c>
      <c r="G133" s="377"/>
      <c r="H133" s="377"/>
      <c r="I133" s="379"/>
    </row>
    <row r="134" spans="1:9" ht="12.75">
      <c r="A134" s="26"/>
      <c r="B134" s="66" t="s">
        <v>106</v>
      </c>
      <c r="C134" s="26" t="s">
        <v>24</v>
      </c>
      <c r="D134" s="55" t="e">
        <f>#REF!</f>
        <v>#REF!</v>
      </c>
      <c r="E134" s="36" t="e">
        <f>#REF!</f>
        <v>#REF!</v>
      </c>
      <c r="F134" s="26"/>
      <c r="G134" s="377"/>
      <c r="H134" s="377"/>
      <c r="I134" s="379"/>
    </row>
    <row r="135" spans="1:9" ht="12.75">
      <c r="A135" s="26"/>
      <c r="B135" s="59" t="s">
        <v>165</v>
      </c>
      <c r="C135" s="26" t="s">
        <v>90</v>
      </c>
      <c r="D135" s="55" t="e">
        <f>#REF!</f>
        <v>#REF!</v>
      </c>
      <c r="E135" s="36" t="e">
        <f>#REF!</f>
        <v>#REF!</v>
      </c>
      <c r="F135" s="26"/>
      <c r="G135" s="377"/>
      <c r="H135" s="377"/>
      <c r="I135" s="379"/>
    </row>
    <row r="136" spans="1:9" ht="12.75">
      <c r="A136" s="26"/>
      <c r="B136" s="59" t="s">
        <v>98</v>
      </c>
      <c r="C136" s="26" t="s">
        <v>90</v>
      </c>
      <c r="D136" s="55" t="e">
        <f>#REF!</f>
        <v>#REF!</v>
      </c>
      <c r="E136" s="36" t="e">
        <f>#REF!</f>
        <v>#REF!</v>
      </c>
      <c r="F136" s="26"/>
      <c r="G136" s="377"/>
      <c r="H136" s="377"/>
      <c r="I136" s="379"/>
    </row>
    <row r="137" spans="1:9" ht="12.75" customHeight="1">
      <c r="A137" s="26" t="s">
        <v>88</v>
      </c>
      <c r="B137" s="1" t="s">
        <v>89</v>
      </c>
      <c r="C137" s="26" t="s">
        <v>64</v>
      </c>
      <c r="D137" s="36" t="e">
        <f>E137</f>
        <v>#REF!</v>
      </c>
      <c r="E137" s="36" t="e">
        <f>SUM(E138:E143)</f>
        <v>#REF!</v>
      </c>
      <c r="F137" s="377" t="s">
        <v>185</v>
      </c>
      <c r="G137" s="377"/>
      <c r="H137" s="377"/>
      <c r="I137" s="380"/>
    </row>
    <row r="138" spans="1:9" ht="12.75">
      <c r="A138" s="56" t="s">
        <v>91</v>
      </c>
      <c r="B138" s="59" t="s">
        <v>93</v>
      </c>
      <c r="C138" s="57" t="s">
        <v>90</v>
      </c>
      <c r="D138" s="57" t="e">
        <f>#REF!</f>
        <v>#REF!</v>
      </c>
      <c r="E138" s="58" t="e">
        <f>#REF!</f>
        <v>#REF!</v>
      </c>
      <c r="F138" s="377"/>
      <c r="G138" s="377" t="s">
        <v>3</v>
      </c>
      <c r="H138" s="377"/>
      <c r="I138" s="381"/>
    </row>
    <row r="139" spans="1:9" ht="12.75">
      <c r="A139" s="56" t="s">
        <v>94</v>
      </c>
      <c r="B139" s="59" t="s">
        <v>166</v>
      </c>
      <c r="C139" s="57" t="s">
        <v>92</v>
      </c>
      <c r="D139" s="57" t="e">
        <f>#REF!</f>
        <v>#REF!</v>
      </c>
      <c r="E139" s="58" t="e">
        <f>#REF!</f>
        <v>#REF!</v>
      </c>
      <c r="F139" s="377"/>
      <c r="G139" s="377"/>
      <c r="H139" s="377"/>
      <c r="I139" s="381"/>
    </row>
    <row r="140" spans="1:9" ht="12.75">
      <c r="A140" s="56" t="s">
        <v>95</v>
      </c>
      <c r="B140" s="113" t="s">
        <v>167</v>
      </c>
      <c r="C140" s="57" t="s">
        <v>97</v>
      </c>
      <c r="D140" s="57" t="e">
        <f>#REF!</f>
        <v>#REF!</v>
      </c>
      <c r="E140" s="58" t="e">
        <f>#REF!</f>
        <v>#REF!</v>
      </c>
      <c r="F140" s="377"/>
      <c r="G140" s="377"/>
      <c r="H140" s="377"/>
      <c r="I140" s="381"/>
    </row>
    <row r="141" spans="1:9" ht="12.75">
      <c r="A141" s="56" t="s">
        <v>96</v>
      </c>
      <c r="B141" s="113" t="s">
        <v>308</v>
      </c>
      <c r="C141" s="57" t="s">
        <v>90</v>
      </c>
      <c r="D141" s="57" t="e">
        <f>#REF!</f>
        <v>#REF!</v>
      </c>
      <c r="E141" s="58" t="e">
        <f>#REF!</f>
        <v>#REF!</v>
      </c>
      <c r="F141" s="377"/>
      <c r="G141" s="377"/>
      <c r="H141" s="377"/>
      <c r="I141" s="381"/>
    </row>
    <row r="142" spans="1:9" ht="12.75">
      <c r="A142" s="56" t="s">
        <v>233</v>
      </c>
      <c r="B142" s="119" t="s">
        <v>226</v>
      </c>
      <c r="C142" s="22" t="s">
        <v>191</v>
      </c>
      <c r="D142" s="70" t="e">
        <f>E142</f>
        <v>#REF!</v>
      </c>
      <c r="E142" s="58" t="e">
        <f>E143</f>
        <v>#REF!</v>
      </c>
      <c r="F142" s="26" t="s">
        <v>231</v>
      </c>
      <c r="G142" s="26"/>
      <c r="H142" s="26"/>
      <c r="I142" s="118"/>
    </row>
    <row r="143" spans="1:9" ht="12.75">
      <c r="A143" s="56" t="s">
        <v>234</v>
      </c>
      <c r="B143" s="120" t="s">
        <v>227</v>
      </c>
      <c r="C143" s="57" t="s">
        <v>10</v>
      </c>
      <c r="D143" s="57" t="e">
        <f>#REF!</f>
        <v>#REF!</v>
      </c>
      <c r="E143" s="58" t="e">
        <f>#REF!</f>
        <v>#REF!</v>
      </c>
      <c r="F143" s="26"/>
      <c r="G143" s="26"/>
      <c r="H143" s="26"/>
      <c r="I143" s="118"/>
    </row>
    <row r="144" spans="1:9" ht="45" customHeight="1">
      <c r="A144" s="14">
        <v>5</v>
      </c>
      <c r="B144" s="18" t="s">
        <v>99</v>
      </c>
      <c r="C144" s="15" t="s">
        <v>76</v>
      </c>
      <c r="D144" s="60" t="e">
        <f>SUM(D145:D147)</f>
        <v>#REF!</v>
      </c>
      <c r="E144" s="60" t="e">
        <f>SUM(E145:E147)</f>
        <v>#REF!</v>
      </c>
      <c r="F144" s="15" t="s">
        <v>186</v>
      </c>
      <c r="G144" s="14" t="s">
        <v>100</v>
      </c>
      <c r="H144" s="18" t="s">
        <v>67</v>
      </c>
      <c r="I144" s="18"/>
    </row>
    <row r="145" spans="1:9" ht="12.75" customHeight="1">
      <c r="A145" s="26" t="s">
        <v>41</v>
      </c>
      <c r="B145" s="26" t="s">
        <v>101</v>
      </c>
      <c r="C145" s="377" t="s">
        <v>76</v>
      </c>
      <c r="D145" s="55" t="e">
        <f>'т1'!#REF!</f>
        <v>#REF!</v>
      </c>
      <c r="E145" s="55" t="e">
        <f>'т1'!#REF!</f>
        <v>#REF!</v>
      </c>
      <c r="F145" s="377" t="s">
        <v>186</v>
      </c>
      <c r="G145" s="377" t="s">
        <v>102</v>
      </c>
      <c r="H145" s="377" t="s">
        <v>67</v>
      </c>
      <c r="I145" s="367"/>
    </row>
    <row r="146" spans="1:9" ht="12.75">
      <c r="A146" s="26" t="s">
        <v>42</v>
      </c>
      <c r="B146" s="26" t="s">
        <v>103</v>
      </c>
      <c r="C146" s="377"/>
      <c r="D146" s="55" t="e">
        <f>'т1'!#REF!</f>
        <v>#REF!</v>
      </c>
      <c r="E146" s="55" t="e">
        <f>'т1'!#REF!</f>
        <v>#REF!</v>
      </c>
      <c r="F146" s="377"/>
      <c r="G146" s="377"/>
      <c r="H146" s="377"/>
      <c r="I146" s="368"/>
    </row>
    <row r="147" spans="1:9" ht="12.75">
      <c r="A147" s="26" t="s">
        <v>43</v>
      </c>
      <c r="B147" s="26" t="s">
        <v>104</v>
      </c>
      <c r="C147" s="377"/>
      <c r="D147" s="55" t="e">
        <f>'т1'!#REF!</f>
        <v>#REF!</v>
      </c>
      <c r="E147" s="55" t="e">
        <f>'т1'!#REF!</f>
        <v>#REF!</v>
      </c>
      <c r="F147" s="377"/>
      <c r="G147" s="377"/>
      <c r="H147" s="377"/>
      <c r="I147" s="369"/>
    </row>
    <row r="148" spans="1:9" ht="22.5">
      <c r="A148" s="14">
        <v>6</v>
      </c>
      <c r="B148" s="14" t="s">
        <v>330</v>
      </c>
      <c r="C148" s="14" t="s">
        <v>191</v>
      </c>
      <c r="D148" s="136"/>
      <c r="E148" s="136" t="e">
        <f>E149+E150</f>
        <v>#REF!</v>
      </c>
      <c r="F148" s="14" t="s">
        <v>57</v>
      </c>
      <c r="G148" s="14" t="s">
        <v>334</v>
      </c>
      <c r="H148" s="14" t="s">
        <v>307</v>
      </c>
      <c r="I148" s="137"/>
    </row>
    <row r="149" spans="1:9" ht="33.75">
      <c r="A149" s="49" t="s">
        <v>309</v>
      </c>
      <c r="B149" s="46" t="s">
        <v>331</v>
      </c>
      <c r="C149" s="26" t="s">
        <v>191</v>
      </c>
      <c r="D149" s="132"/>
      <c r="E149" s="58" t="e">
        <f>'т1'!#REF!</f>
        <v>#REF!</v>
      </c>
      <c r="F149" s="49"/>
      <c r="G149" s="134"/>
      <c r="H149" s="134"/>
      <c r="I149" s="133"/>
    </row>
    <row r="150" spans="1:9" ht="33.75">
      <c r="A150" s="49" t="s">
        <v>310</v>
      </c>
      <c r="B150" s="46" t="s">
        <v>332</v>
      </c>
      <c r="C150" s="26" t="s">
        <v>191</v>
      </c>
      <c r="D150" s="132"/>
      <c r="E150" s="58" t="e">
        <f>'т1'!#REF!</f>
        <v>#REF!</v>
      </c>
      <c r="F150" s="49"/>
      <c r="G150" s="134"/>
      <c r="H150" s="134"/>
      <c r="I150" s="133"/>
    </row>
    <row r="151" spans="1:9" ht="12.75">
      <c r="A151" s="49" t="s">
        <v>311</v>
      </c>
      <c r="B151" s="134"/>
      <c r="C151" s="134"/>
      <c r="D151" s="135"/>
      <c r="E151" s="135"/>
      <c r="F151" s="134"/>
      <c r="G151" s="134"/>
      <c r="H151" s="134"/>
      <c r="I151" s="133"/>
    </row>
    <row r="152" spans="1:9" ht="15" customHeight="1">
      <c r="A152" s="391" t="s">
        <v>105</v>
      </c>
      <c r="B152" s="391"/>
      <c r="C152" s="62" t="s">
        <v>4</v>
      </c>
      <c r="D152" s="61" t="s">
        <v>4</v>
      </c>
      <c r="E152" s="63" t="e">
        <f>'т1'!#REF!</f>
        <v>#REF!</v>
      </c>
      <c r="F152" s="62" t="s">
        <v>4</v>
      </c>
      <c r="G152" s="64" t="s">
        <v>4</v>
      </c>
      <c r="H152" s="61" t="s">
        <v>4</v>
      </c>
      <c r="I152" s="61" t="s">
        <v>4</v>
      </c>
    </row>
    <row r="154" spans="5:6" ht="12.75">
      <c r="E154" s="97" t="e">
        <f>E148+E144+E122+E116+E113+E6</f>
        <v>#REF!</v>
      </c>
      <c r="F154" s="97" t="e">
        <f>E5+E113+E116+E122+E144+E148</f>
        <v>#REF!</v>
      </c>
    </row>
  </sheetData>
  <sheetProtection/>
  <mergeCells count="26">
    <mergeCell ref="G117:G121"/>
    <mergeCell ref="H117:H121"/>
    <mergeCell ref="A152:B152"/>
    <mergeCell ref="F137:F141"/>
    <mergeCell ref="G138:G141"/>
    <mergeCell ref="H138:H141"/>
    <mergeCell ref="C145:C147"/>
    <mergeCell ref="F145:F147"/>
    <mergeCell ref="G145:G147"/>
    <mergeCell ref="H145:H147"/>
    <mergeCell ref="A2:I2"/>
    <mergeCell ref="I110:I112"/>
    <mergeCell ref="G114:G115"/>
    <mergeCell ref="H114:H115"/>
    <mergeCell ref="G7:G108"/>
    <mergeCell ref="H7:H108"/>
    <mergeCell ref="I145:I147"/>
    <mergeCell ref="I7:I108"/>
    <mergeCell ref="I117:I121"/>
    <mergeCell ref="I114:I115"/>
    <mergeCell ref="G128:G129"/>
    <mergeCell ref="H128:H129"/>
    <mergeCell ref="I131:I137"/>
    <mergeCell ref="I138:I141"/>
    <mergeCell ref="G131:G137"/>
    <mergeCell ref="H131:H13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4"/>
  <sheetViews>
    <sheetView tabSelected="1" zoomScalePageLayoutView="0" workbookViewId="0" topLeftCell="A1">
      <pane xSplit="3" ySplit="8" topLeftCell="D36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67" sqref="B367"/>
    </sheetView>
  </sheetViews>
  <sheetFormatPr defaultColWidth="9.00390625" defaultRowHeight="12.75"/>
  <cols>
    <col min="1" max="1" width="4.375" style="330" customWidth="1"/>
    <col min="2" max="2" width="33.375" style="330" customWidth="1"/>
    <col min="3" max="3" width="27.625" style="330" customWidth="1"/>
    <col min="4" max="4" width="9.00390625" style="330" customWidth="1"/>
    <col min="5" max="16384" width="9.125" style="330" customWidth="1"/>
  </cols>
  <sheetData>
    <row r="1" spans="8:10" ht="15">
      <c r="H1" s="330" t="s">
        <v>3</v>
      </c>
      <c r="J1" s="354" t="s">
        <v>811</v>
      </c>
    </row>
    <row r="2" spans="1:11" s="331" customFormat="1" ht="15.75">
      <c r="A2" s="491" t="s">
        <v>812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4" spans="1:11" ht="15" customHeight="1">
      <c r="A4" s="492" t="s">
        <v>803</v>
      </c>
      <c r="B4" s="492" t="s">
        <v>804</v>
      </c>
      <c r="C4" s="487" t="s">
        <v>766</v>
      </c>
      <c r="D4" s="487"/>
      <c r="E4" s="487"/>
      <c r="F4" s="487"/>
      <c r="G4" s="487"/>
      <c r="H4" s="487"/>
      <c r="I4" s="487"/>
      <c r="J4" s="487"/>
      <c r="K4" s="487"/>
    </row>
    <row r="5" spans="1:11" ht="12.75">
      <c r="A5" s="493"/>
      <c r="B5" s="493"/>
      <c r="C5" s="487" t="s">
        <v>767</v>
      </c>
      <c r="D5" s="487" t="s">
        <v>768</v>
      </c>
      <c r="E5" s="487"/>
      <c r="F5" s="487"/>
      <c r="G5" s="487"/>
      <c r="H5" s="487"/>
      <c r="I5" s="487"/>
      <c r="J5" s="487"/>
      <c r="K5" s="487"/>
    </row>
    <row r="6" spans="1:11" ht="12.75">
      <c r="A6" s="493"/>
      <c r="B6" s="493"/>
      <c r="C6" s="487"/>
      <c r="D6" s="487" t="s">
        <v>189</v>
      </c>
      <c r="E6" s="487" t="s">
        <v>769</v>
      </c>
      <c r="F6" s="487"/>
      <c r="G6" s="487"/>
      <c r="H6" s="487"/>
      <c r="I6" s="487"/>
      <c r="J6" s="487"/>
      <c r="K6" s="487"/>
    </row>
    <row r="7" spans="1:11" ht="12.75">
      <c r="A7" s="494"/>
      <c r="B7" s="494"/>
      <c r="C7" s="487"/>
      <c r="D7" s="487"/>
      <c r="E7" s="332">
        <v>2014</v>
      </c>
      <c r="F7" s="332">
        <v>2015</v>
      </c>
      <c r="G7" s="332">
        <v>2016</v>
      </c>
      <c r="H7" s="332">
        <v>2017</v>
      </c>
      <c r="I7" s="332">
        <v>2018</v>
      </c>
      <c r="J7" s="332">
        <v>2019</v>
      </c>
      <c r="K7" s="332">
        <v>2020</v>
      </c>
    </row>
    <row r="8" spans="1:11" ht="12.75">
      <c r="A8" s="317">
        <v>1</v>
      </c>
      <c r="B8" s="317">
        <v>2</v>
      </c>
      <c r="C8" s="317">
        <v>3</v>
      </c>
      <c r="D8" s="317">
        <v>4</v>
      </c>
      <c r="E8" s="317">
        <v>5</v>
      </c>
      <c r="F8" s="317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</row>
    <row r="9" spans="1:11" ht="24.75" customHeight="1">
      <c r="A9" s="487" t="s">
        <v>55</v>
      </c>
      <c r="B9" s="479" t="s">
        <v>845</v>
      </c>
      <c r="C9" s="333" t="s">
        <v>805</v>
      </c>
      <c r="D9" s="341">
        <f>SUM(E9:K9)</f>
        <v>43.031529411764716</v>
      </c>
      <c r="E9" s="334">
        <f>E10+E11+E12+E13+E14</f>
        <v>4.332</v>
      </c>
      <c r="F9" s="358">
        <f aca="true" t="shared" si="0" ref="F9:K9">F10+F11+F12+F13+F14</f>
        <v>6.449529411764706</v>
      </c>
      <c r="G9" s="334">
        <f t="shared" si="0"/>
        <v>6.450000000000001</v>
      </c>
      <c r="H9" s="334">
        <f t="shared" si="0"/>
        <v>6.450000000000001</v>
      </c>
      <c r="I9" s="334">
        <f t="shared" si="0"/>
        <v>6.450000000000001</v>
      </c>
      <c r="J9" s="334">
        <f t="shared" si="0"/>
        <v>6.450000000000001</v>
      </c>
      <c r="K9" s="334">
        <f t="shared" si="0"/>
        <v>6.450000000000001</v>
      </c>
    </row>
    <row r="10" spans="1:13" ht="12.75" customHeight="1">
      <c r="A10" s="487"/>
      <c r="B10" s="480"/>
      <c r="C10" s="335" t="s">
        <v>770</v>
      </c>
      <c r="D10" s="342">
        <f aca="true" t="shared" si="1" ref="D10:D27">SUM(E10:K10)</f>
        <v>12.783758823529414</v>
      </c>
      <c r="E10" s="342">
        <f>E17+E23+E29+E35+E41+E47+E53+E59+E65+E71+E77+E83</f>
        <v>1.1742</v>
      </c>
      <c r="F10" s="342">
        <f aca="true" t="shared" si="2" ref="F10:K10">F17+F23+F29+F35+F41+F47+F53+F59+F65+F71+F77+F83</f>
        <v>1.9345588235294118</v>
      </c>
      <c r="G10" s="336">
        <f t="shared" si="2"/>
        <v>1.935</v>
      </c>
      <c r="H10" s="336">
        <f t="shared" si="2"/>
        <v>1.935</v>
      </c>
      <c r="I10" s="336">
        <f t="shared" si="2"/>
        <v>1.9350000000000003</v>
      </c>
      <c r="J10" s="336">
        <f t="shared" si="2"/>
        <v>1.9350000000000003</v>
      </c>
      <c r="K10" s="336">
        <f t="shared" si="2"/>
        <v>1.935</v>
      </c>
      <c r="M10" s="359" t="s">
        <v>3</v>
      </c>
    </row>
    <row r="11" spans="1:11" ht="12.75" customHeight="1">
      <c r="A11" s="487"/>
      <c r="B11" s="480"/>
      <c r="C11" s="335" t="s">
        <v>771</v>
      </c>
      <c r="D11" s="342">
        <f t="shared" si="1"/>
        <v>12.283982823529414</v>
      </c>
      <c r="E11" s="342">
        <f aca="true" t="shared" si="3" ref="E11:K11">E18+E24+E30+E36+E42+E48+E54+E60+E66+E72+E78+E84</f>
        <v>0.674424</v>
      </c>
      <c r="F11" s="342">
        <f t="shared" si="3"/>
        <v>1.9345588235294118</v>
      </c>
      <c r="G11" s="336">
        <f t="shared" si="3"/>
        <v>1.935</v>
      </c>
      <c r="H11" s="336">
        <f t="shared" si="3"/>
        <v>1.935</v>
      </c>
      <c r="I11" s="336">
        <f t="shared" si="3"/>
        <v>1.9350000000000003</v>
      </c>
      <c r="J11" s="336">
        <f t="shared" si="3"/>
        <v>1.9350000000000003</v>
      </c>
      <c r="K11" s="336">
        <f t="shared" si="3"/>
        <v>1.935</v>
      </c>
    </row>
    <row r="12" spans="1:11" ht="12.75" customHeight="1">
      <c r="A12" s="487"/>
      <c r="B12" s="480"/>
      <c r="C12" s="335" t="s">
        <v>772</v>
      </c>
      <c r="D12" s="342">
        <f t="shared" si="1"/>
        <v>4.26023294117647</v>
      </c>
      <c r="E12" s="342">
        <f aca="true" t="shared" si="4" ref="E12:K12">E19+E25+E31+E37+E43+E49+E55+E61+E67+E73+E79+E85</f>
        <v>0.38988</v>
      </c>
      <c r="F12" s="342">
        <f t="shared" si="4"/>
        <v>0.6453529411764706</v>
      </c>
      <c r="G12" s="336">
        <f t="shared" si="4"/>
        <v>0.645</v>
      </c>
      <c r="H12" s="336">
        <f t="shared" si="4"/>
        <v>0.645</v>
      </c>
      <c r="I12" s="336">
        <f t="shared" si="4"/>
        <v>0.645</v>
      </c>
      <c r="J12" s="336">
        <f t="shared" si="4"/>
        <v>0.645</v>
      </c>
      <c r="K12" s="336">
        <f t="shared" si="4"/>
        <v>0.645</v>
      </c>
    </row>
    <row r="13" spans="1:11" ht="12.75" customHeight="1">
      <c r="A13" s="487"/>
      <c r="B13" s="480"/>
      <c r="C13" s="335" t="s">
        <v>773</v>
      </c>
      <c r="D13" s="336">
        <f t="shared" si="1"/>
        <v>0</v>
      </c>
      <c r="E13" s="336">
        <f aca="true" t="shared" si="5" ref="E13:K14">E20+E26+E32+E38+E44+E50+E56+E62+E68+E74+E80+E86</f>
        <v>0</v>
      </c>
      <c r="F13" s="336">
        <f t="shared" si="5"/>
        <v>0</v>
      </c>
      <c r="G13" s="336">
        <f t="shared" si="5"/>
        <v>0</v>
      </c>
      <c r="H13" s="336">
        <f t="shared" si="5"/>
        <v>0</v>
      </c>
      <c r="I13" s="336">
        <f t="shared" si="5"/>
        <v>0</v>
      </c>
      <c r="J13" s="336">
        <f t="shared" si="5"/>
        <v>0</v>
      </c>
      <c r="K13" s="336">
        <f t="shared" si="5"/>
        <v>0</v>
      </c>
    </row>
    <row r="14" spans="1:11" ht="12.75" customHeight="1">
      <c r="A14" s="487"/>
      <c r="B14" s="481"/>
      <c r="C14" s="335" t="s">
        <v>774</v>
      </c>
      <c r="D14" s="342">
        <f t="shared" si="1"/>
        <v>13.703554823529414</v>
      </c>
      <c r="E14" s="342">
        <f t="shared" si="5"/>
        <v>2.093496</v>
      </c>
      <c r="F14" s="342">
        <f aca="true" t="shared" si="6" ref="F14:K14">F21+F27+F33+F39+F45+F51+F57+F63+F69+F75+F81+F87</f>
        <v>1.935058823529412</v>
      </c>
      <c r="G14" s="336">
        <f t="shared" si="6"/>
        <v>1.935</v>
      </c>
      <c r="H14" s="336">
        <f t="shared" si="6"/>
        <v>1.935</v>
      </c>
      <c r="I14" s="336">
        <f t="shared" si="6"/>
        <v>1.9350000000000003</v>
      </c>
      <c r="J14" s="336">
        <f t="shared" si="6"/>
        <v>1.9350000000000003</v>
      </c>
      <c r="K14" s="336">
        <f t="shared" si="6"/>
        <v>1.935</v>
      </c>
    </row>
    <row r="15" spans="1:11" ht="26.25" customHeight="1">
      <c r="A15" s="317"/>
      <c r="B15" s="333" t="s">
        <v>844</v>
      </c>
      <c r="C15" s="335"/>
      <c r="D15" s="336" t="s">
        <v>3</v>
      </c>
      <c r="E15" s="336"/>
      <c r="F15" s="336"/>
      <c r="G15" s="336"/>
      <c r="H15" s="336"/>
      <c r="I15" s="336"/>
      <c r="J15" s="336"/>
      <c r="K15" s="336"/>
    </row>
    <row r="16" spans="1:11" s="316" customFormat="1" ht="27.75" customHeight="1">
      <c r="A16" s="474" t="s">
        <v>429</v>
      </c>
      <c r="B16" s="476" t="s">
        <v>456</v>
      </c>
      <c r="C16" s="337" t="s">
        <v>805</v>
      </c>
      <c r="D16" s="325">
        <f t="shared" si="1"/>
        <v>2.064</v>
      </c>
      <c r="E16" s="325">
        <f>SUM(E17:E21)</f>
        <v>0</v>
      </c>
      <c r="F16" s="325">
        <f aca="true" t="shared" si="7" ref="F16:K16">SUM(F17:F21)</f>
        <v>0</v>
      </c>
      <c r="G16" s="325">
        <f t="shared" si="7"/>
        <v>0</v>
      </c>
      <c r="H16" s="325">
        <f t="shared" si="7"/>
        <v>2.064</v>
      </c>
      <c r="I16" s="325">
        <f t="shared" si="7"/>
        <v>0</v>
      </c>
      <c r="J16" s="325">
        <f t="shared" si="7"/>
        <v>0</v>
      </c>
      <c r="K16" s="325">
        <f t="shared" si="7"/>
        <v>0</v>
      </c>
    </row>
    <row r="17" spans="1:11" s="316" customFormat="1" ht="12.75" customHeight="1">
      <c r="A17" s="475"/>
      <c r="B17" s="477"/>
      <c r="C17" s="338" t="s">
        <v>770</v>
      </c>
      <c r="D17" s="339">
        <f t="shared" si="1"/>
        <v>0.6192</v>
      </c>
      <c r="E17" s="339"/>
      <c r="F17" s="339"/>
      <c r="G17" s="339"/>
      <c r="H17" s="339">
        <v>0.6192</v>
      </c>
      <c r="I17" s="339"/>
      <c r="J17" s="339"/>
      <c r="K17" s="339"/>
    </row>
    <row r="18" spans="1:11" s="316" customFormat="1" ht="12.75" customHeight="1">
      <c r="A18" s="475"/>
      <c r="B18" s="477"/>
      <c r="C18" s="338" t="s">
        <v>771</v>
      </c>
      <c r="D18" s="339">
        <f t="shared" si="1"/>
        <v>0.6192</v>
      </c>
      <c r="E18" s="339"/>
      <c r="F18" s="339"/>
      <c r="G18" s="339"/>
      <c r="H18" s="339">
        <v>0.6192</v>
      </c>
      <c r="I18" s="339"/>
      <c r="J18" s="339"/>
      <c r="K18" s="339"/>
    </row>
    <row r="19" spans="1:11" s="316" customFormat="1" ht="12.75" customHeight="1">
      <c r="A19" s="475"/>
      <c r="B19" s="477"/>
      <c r="C19" s="338" t="s">
        <v>772</v>
      </c>
      <c r="D19" s="339">
        <f t="shared" si="1"/>
        <v>0.2064</v>
      </c>
      <c r="E19" s="339"/>
      <c r="F19" s="339"/>
      <c r="G19" s="339"/>
      <c r="H19" s="339">
        <v>0.2064</v>
      </c>
      <c r="I19" s="339"/>
      <c r="J19" s="339"/>
      <c r="K19" s="339"/>
    </row>
    <row r="20" spans="1:11" s="316" customFormat="1" ht="12.75" customHeight="1">
      <c r="A20" s="475"/>
      <c r="B20" s="477"/>
      <c r="C20" s="338" t="s">
        <v>773</v>
      </c>
      <c r="D20" s="339">
        <f t="shared" si="1"/>
        <v>0</v>
      </c>
      <c r="E20" s="339"/>
      <c r="F20" s="339"/>
      <c r="G20" s="339"/>
      <c r="H20" s="339">
        <v>0</v>
      </c>
      <c r="I20" s="339"/>
      <c r="J20" s="339"/>
      <c r="K20" s="339"/>
    </row>
    <row r="21" spans="1:11" s="316" customFormat="1" ht="12.75" customHeight="1">
      <c r="A21" s="482"/>
      <c r="B21" s="483"/>
      <c r="C21" s="338" t="s">
        <v>774</v>
      </c>
      <c r="D21" s="339">
        <f t="shared" si="1"/>
        <v>0.6192</v>
      </c>
      <c r="E21" s="339"/>
      <c r="F21" s="339"/>
      <c r="G21" s="339"/>
      <c r="H21" s="339">
        <v>0.6192</v>
      </c>
      <c r="I21" s="339"/>
      <c r="J21" s="339"/>
      <c r="K21" s="339"/>
    </row>
    <row r="22" spans="1:11" s="316" customFormat="1" ht="25.5" customHeight="1">
      <c r="A22" s="474" t="s">
        <v>430</v>
      </c>
      <c r="B22" s="476" t="s">
        <v>457</v>
      </c>
      <c r="C22" s="337" t="s">
        <v>805</v>
      </c>
      <c r="D22" s="339">
        <f t="shared" si="1"/>
        <v>1.8428571428571432</v>
      </c>
      <c r="E22" s="340">
        <f aca="true" t="shared" si="8" ref="E22:K22">SUM(E23:E27)</f>
        <v>0</v>
      </c>
      <c r="F22" s="340">
        <f t="shared" si="8"/>
        <v>0</v>
      </c>
      <c r="G22" s="340">
        <f t="shared" si="8"/>
        <v>0</v>
      </c>
      <c r="H22" s="340">
        <f t="shared" si="8"/>
        <v>0</v>
      </c>
      <c r="I22" s="340">
        <f t="shared" si="8"/>
        <v>1.8428571428571432</v>
      </c>
      <c r="J22" s="340">
        <f t="shared" si="8"/>
        <v>0</v>
      </c>
      <c r="K22" s="340">
        <f t="shared" si="8"/>
        <v>0</v>
      </c>
    </row>
    <row r="23" spans="1:11" s="316" customFormat="1" ht="14.25" customHeight="1">
      <c r="A23" s="475"/>
      <c r="B23" s="477"/>
      <c r="C23" s="338" t="s">
        <v>770</v>
      </c>
      <c r="D23" s="339">
        <f t="shared" si="1"/>
        <v>0.5528571428571429</v>
      </c>
      <c r="E23" s="339"/>
      <c r="F23" s="339">
        <v>0</v>
      </c>
      <c r="G23" s="339"/>
      <c r="H23" s="339"/>
      <c r="I23" s="339">
        <v>0.5528571428571429</v>
      </c>
      <c r="J23" s="339"/>
      <c r="K23" s="339"/>
    </row>
    <row r="24" spans="1:11" s="316" customFormat="1" ht="12.75" customHeight="1">
      <c r="A24" s="475"/>
      <c r="B24" s="477"/>
      <c r="C24" s="338" t="s">
        <v>771</v>
      </c>
      <c r="D24" s="339">
        <f t="shared" si="1"/>
        <v>0.5528571428571429</v>
      </c>
      <c r="E24" s="339"/>
      <c r="F24" s="339">
        <v>0</v>
      </c>
      <c r="G24" s="339"/>
      <c r="H24" s="339"/>
      <c r="I24" s="339">
        <v>0.5528571428571429</v>
      </c>
      <c r="J24" s="339"/>
      <c r="K24" s="339"/>
    </row>
    <row r="25" spans="1:11" s="316" customFormat="1" ht="12.75" customHeight="1">
      <c r="A25" s="475"/>
      <c r="B25" s="477"/>
      <c r="C25" s="338" t="s">
        <v>772</v>
      </c>
      <c r="D25" s="339">
        <f t="shared" si="1"/>
        <v>0.1842857142857143</v>
      </c>
      <c r="E25" s="339"/>
      <c r="F25" s="339">
        <v>0</v>
      </c>
      <c r="G25" s="339"/>
      <c r="H25" s="339"/>
      <c r="I25" s="339">
        <v>0.1842857142857143</v>
      </c>
      <c r="J25" s="339"/>
      <c r="K25" s="339"/>
    </row>
    <row r="26" spans="1:11" s="316" customFormat="1" ht="12.75" customHeight="1">
      <c r="A26" s="475"/>
      <c r="B26" s="477"/>
      <c r="C26" s="338" t="s">
        <v>773</v>
      </c>
      <c r="D26" s="339">
        <f t="shared" si="1"/>
        <v>0</v>
      </c>
      <c r="E26" s="339"/>
      <c r="F26" s="339">
        <v>0</v>
      </c>
      <c r="G26" s="339"/>
      <c r="H26" s="339"/>
      <c r="I26" s="339">
        <v>0</v>
      </c>
      <c r="J26" s="339"/>
      <c r="K26" s="339"/>
    </row>
    <row r="27" spans="1:11" s="316" customFormat="1" ht="12.75" customHeight="1">
      <c r="A27" s="482"/>
      <c r="B27" s="483"/>
      <c r="C27" s="338" t="s">
        <v>774</v>
      </c>
      <c r="D27" s="339">
        <f t="shared" si="1"/>
        <v>0.5528571428571429</v>
      </c>
      <c r="E27" s="339"/>
      <c r="F27" s="339">
        <v>0</v>
      </c>
      <c r="G27" s="339"/>
      <c r="H27" s="339"/>
      <c r="I27" s="339">
        <v>0.5528571428571429</v>
      </c>
      <c r="J27" s="339"/>
      <c r="K27" s="339"/>
    </row>
    <row r="28" spans="1:11" s="316" customFormat="1" ht="27.75" customHeight="1">
      <c r="A28" s="488" t="s">
        <v>431</v>
      </c>
      <c r="B28" s="476" t="s">
        <v>458</v>
      </c>
      <c r="C28" s="337" t="s">
        <v>805</v>
      </c>
      <c r="D28" s="339">
        <f aca="true" t="shared" si="9" ref="D28:D91">SUM(E28:K28)</f>
        <v>2.950980392156863</v>
      </c>
      <c r="E28" s="340">
        <f aca="true" t="shared" si="10" ref="E28:K28">SUM(E29:E33)</f>
        <v>0</v>
      </c>
      <c r="F28" s="340">
        <f t="shared" si="10"/>
        <v>1.5176470588235296</v>
      </c>
      <c r="G28" s="340">
        <f t="shared" si="10"/>
        <v>0</v>
      </c>
      <c r="H28" s="340">
        <f t="shared" si="10"/>
        <v>0</v>
      </c>
      <c r="I28" s="340">
        <f t="shared" si="10"/>
        <v>0</v>
      </c>
      <c r="J28" s="340">
        <f t="shared" si="10"/>
        <v>0</v>
      </c>
      <c r="K28" s="340">
        <f t="shared" si="10"/>
        <v>1.4333333333333333</v>
      </c>
    </row>
    <row r="29" spans="1:11" s="316" customFormat="1" ht="12.75" customHeight="1">
      <c r="A29" s="489"/>
      <c r="B29" s="477"/>
      <c r="C29" s="338" t="s">
        <v>770</v>
      </c>
      <c r="D29" s="339">
        <f t="shared" si="9"/>
        <v>0.8852941176470588</v>
      </c>
      <c r="E29" s="339"/>
      <c r="F29" s="339">
        <v>0.45529411764705885</v>
      </c>
      <c r="G29" s="339"/>
      <c r="H29" s="339"/>
      <c r="I29" s="339"/>
      <c r="J29" s="339"/>
      <c r="K29" s="339">
        <v>0.43</v>
      </c>
    </row>
    <row r="30" spans="1:11" s="316" customFormat="1" ht="12.75" customHeight="1">
      <c r="A30" s="489"/>
      <c r="B30" s="477"/>
      <c r="C30" s="338" t="s">
        <v>771</v>
      </c>
      <c r="D30" s="339">
        <f t="shared" si="9"/>
        <v>0.8852941176470588</v>
      </c>
      <c r="E30" s="339"/>
      <c r="F30" s="339">
        <v>0.45529411764705885</v>
      </c>
      <c r="G30" s="339"/>
      <c r="H30" s="339"/>
      <c r="I30" s="339"/>
      <c r="J30" s="339"/>
      <c r="K30" s="339">
        <v>0.43</v>
      </c>
    </row>
    <row r="31" spans="1:11" s="316" customFormat="1" ht="12.75" customHeight="1">
      <c r="A31" s="489"/>
      <c r="B31" s="477"/>
      <c r="C31" s="338" t="s">
        <v>772</v>
      </c>
      <c r="D31" s="339">
        <f t="shared" si="9"/>
        <v>0.2950980392156863</v>
      </c>
      <c r="E31" s="339"/>
      <c r="F31" s="339">
        <v>0.15176470588235294</v>
      </c>
      <c r="G31" s="339"/>
      <c r="H31" s="339"/>
      <c r="I31" s="339"/>
      <c r="J31" s="339"/>
      <c r="K31" s="339">
        <v>0.14333333333333334</v>
      </c>
    </row>
    <row r="32" spans="1:11" s="316" customFormat="1" ht="12.75" customHeight="1">
      <c r="A32" s="489"/>
      <c r="B32" s="477"/>
      <c r="C32" s="338" t="s">
        <v>773</v>
      </c>
      <c r="D32" s="339">
        <f t="shared" si="9"/>
        <v>0</v>
      </c>
      <c r="E32" s="339"/>
      <c r="F32" s="339">
        <v>0</v>
      </c>
      <c r="G32" s="339"/>
      <c r="H32" s="339"/>
      <c r="I32" s="339"/>
      <c r="J32" s="339"/>
      <c r="K32" s="339">
        <v>0</v>
      </c>
    </row>
    <row r="33" spans="1:11" s="316" customFormat="1" ht="12.75" customHeight="1">
      <c r="A33" s="490"/>
      <c r="B33" s="483"/>
      <c r="C33" s="338" t="s">
        <v>774</v>
      </c>
      <c r="D33" s="339">
        <f t="shared" si="9"/>
        <v>0.8852941176470588</v>
      </c>
      <c r="E33" s="339"/>
      <c r="F33" s="339">
        <v>0.45529411764705885</v>
      </c>
      <c r="G33" s="339"/>
      <c r="H33" s="339"/>
      <c r="I33" s="339"/>
      <c r="J33" s="339"/>
      <c r="K33" s="339">
        <v>0.43</v>
      </c>
    </row>
    <row r="34" spans="1:11" s="316" customFormat="1" ht="25.5" customHeight="1">
      <c r="A34" s="488" t="s">
        <v>432</v>
      </c>
      <c r="B34" s="476" t="s">
        <v>459</v>
      </c>
      <c r="C34" s="337" t="s">
        <v>805</v>
      </c>
      <c r="D34" s="339">
        <f t="shared" si="9"/>
        <v>3.4973333333333336</v>
      </c>
      <c r="E34" s="340">
        <f aca="true" t="shared" si="11" ref="E34:K34">SUM(E35:E39)</f>
        <v>0</v>
      </c>
      <c r="F34" s="340">
        <f t="shared" si="11"/>
        <v>0</v>
      </c>
      <c r="G34" s="340">
        <f t="shared" si="11"/>
        <v>0</v>
      </c>
      <c r="H34" s="340">
        <f t="shared" si="11"/>
        <v>2.064</v>
      </c>
      <c r="I34" s="340">
        <f t="shared" si="11"/>
        <v>0</v>
      </c>
      <c r="J34" s="340">
        <f t="shared" si="11"/>
        <v>0</v>
      </c>
      <c r="K34" s="340">
        <f t="shared" si="11"/>
        <v>1.4333333333333333</v>
      </c>
    </row>
    <row r="35" spans="1:11" s="316" customFormat="1" ht="12.75" customHeight="1">
      <c r="A35" s="489"/>
      <c r="B35" s="477"/>
      <c r="C35" s="338" t="s">
        <v>770</v>
      </c>
      <c r="D35" s="339">
        <f t="shared" si="9"/>
        <v>1.0492</v>
      </c>
      <c r="E35" s="339"/>
      <c r="F35" s="339"/>
      <c r="G35" s="339"/>
      <c r="H35" s="339">
        <v>0.6192</v>
      </c>
      <c r="I35" s="339"/>
      <c r="J35" s="339"/>
      <c r="K35" s="339">
        <v>0.43</v>
      </c>
    </row>
    <row r="36" spans="1:11" s="316" customFormat="1" ht="12.75" customHeight="1">
      <c r="A36" s="489"/>
      <c r="B36" s="477"/>
      <c r="C36" s="338" t="s">
        <v>771</v>
      </c>
      <c r="D36" s="339">
        <f t="shared" si="9"/>
        <v>1.0492</v>
      </c>
      <c r="E36" s="339"/>
      <c r="F36" s="339"/>
      <c r="G36" s="339"/>
      <c r="H36" s="339">
        <v>0.6192</v>
      </c>
      <c r="I36" s="339"/>
      <c r="J36" s="339"/>
      <c r="K36" s="339">
        <v>0.43</v>
      </c>
    </row>
    <row r="37" spans="1:11" s="316" customFormat="1" ht="12.75" customHeight="1">
      <c r="A37" s="489"/>
      <c r="B37" s="477"/>
      <c r="C37" s="338" t="s">
        <v>772</v>
      </c>
      <c r="D37" s="339">
        <f t="shared" si="9"/>
        <v>0.34973333333333334</v>
      </c>
      <c r="E37" s="339"/>
      <c r="F37" s="339"/>
      <c r="G37" s="339"/>
      <c r="H37" s="339">
        <v>0.2064</v>
      </c>
      <c r="I37" s="339"/>
      <c r="J37" s="339"/>
      <c r="K37" s="339">
        <v>0.14333333333333334</v>
      </c>
    </row>
    <row r="38" spans="1:11" s="316" customFormat="1" ht="12.75" customHeight="1">
      <c r="A38" s="489"/>
      <c r="B38" s="477"/>
      <c r="C38" s="338" t="s">
        <v>773</v>
      </c>
      <c r="D38" s="339">
        <f t="shared" si="9"/>
        <v>0</v>
      </c>
      <c r="E38" s="339"/>
      <c r="F38" s="339"/>
      <c r="G38" s="339"/>
      <c r="H38" s="339">
        <v>0</v>
      </c>
      <c r="I38" s="339"/>
      <c r="J38" s="339"/>
      <c r="K38" s="339">
        <v>0</v>
      </c>
    </row>
    <row r="39" spans="1:11" s="316" customFormat="1" ht="12.75" customHeight="1">
      <c r="A39" s="490"/>
      <c r="B39" s="483"/>
      <c r="C39" s="338" t="s">
        <v>774</v>
      </c>
      <c r="D39" s="339">
        <f t="shared" si="9"/>
        <v>1.0492</v>
      </c>
      <c r="E39" s="339"/>
      <c r="F39" s="339"/>
      <c r="G39" s="339"/>
      <c r="H39" s="339">
        <v>0.6192</v>
      </c>
      <c r="I39" s="339"/>
      <c r="J39" s="339"/>
      <c r="K39" s="339">
        <v>0.43</v>
      </c>
    </row>
    <row r="40" spans="1:11" s="316" customFormat="1" ht="25.5" customHeight="1">
      <c r="A40" s="488" t="s">
        <v>433</v>
      </c>
      <c r="B40" s="476" t="s">
        <v>460</v>
      </c>
      <c r="C40" s="337" t="s">
        <v>805</v>
      </c>
      <c r="D40" s="339">
        <f t="shared" si="9"/>
        <v>1.8428571428571432</v>
      </c>
      <c r="E40" s="340">
        <f aca="true" t="shared" si="12" ref="E40:K40">SUM(E41:E45)</f>
        <v>0</v>
      </c>
      <c r="F40" s="340">
        <f t="shared" si="12"/>
        <v>0</v>
      </c>
      <c r="G40" s="340">
        <f t="shared" si="12"/>
        <v>0</v>
      </c>
      <c r="H40" s="340">
        <f t="shared" si="12"/>
        <v>0</v>
      </c>
      <c r="I40" s="340">
        <f t="shared" si="12"/>
        <v>0</v>
      </c>
      <c r="J40" s="340">
        <f t="shared" si="12"/>
        <v>1.8428571428571432</v>
      </c>
      <c r="K40" s="340">
        <f t="shared" si="12"/>
        <v>0</v>
      </c>
    </row>
    <row r="41" spans="1:11" s="316" customFormat="1" ht="12.75" customHeight="1">
      <c r="A41" s="489"/>
      <c r="B41" s="477"/>
      <c r="C41" s="338" t="s">
        <v>770</v>
      </c>
      <c r="D41" s="339">
        <f t="shared" si="9"/>
        <v>0.5528571428571429</v>
      </c>
      <c r="E41" s="339"/>
      <c r="F41" s="339"/>
      <c r="G41" s="339"/>
      <c r="H41" s="339"/>
      <c r="I41" s="339"/>
      <c r="J41" s="339">
        <v>0.5528571428571429</v>
      </c>
      <c r="K41" s="339"/>
    </row>
    <row r="42" spans="1:11" s="316" customFormat="1" ht="12.75" customHeight="1">
      <c r="A42" s="489"/>
      <c r="B42" s="477"/>
      <c r="C42" s="338" t="s">
        <v>771</v>
      </c>
      <c r="D42" s="339">
        <f t="shared" si="9"/>
        <v>0.5528571428571429</v>
      </c>
      <c r="E42" s="339"/>
      <c r="F42" s="339"/>
      <c r="G42" s="339"/>
      <c r="H42" s="339"/>
      <c r="I42" s="339"/>
      <c r="J42" s="339">
        <v>0.5528571428571429</v>
      </c>
      <c r="K42" s="339"/>
    </row>
    <row r="43" spans="1:11" s="316" customFormat="1" ht="12.75" customHeight="1">
      <c r="A43" s="489"/>
      <c r="B43" s="477"/>
      <c r="C43" s="338" t="s">
        <v>772</v>
      </c>
      <c r="D43" s="339">
        <f t="shared" si="9"/>
        <v>0.1842857142857143</v>
      </c>
      <c r="E43" s="339"/>
      <c r="F43" s="339"/>
      <c r="G43" s="339"/>
      <c r="H43" s="339"/>
      <c r="I43" s="339"/>
      <c r="J43" s="339">
        <v>0.1842857142857143</v>
      </c>
      <c r="K43" s="339"/>
    </row>
    <row r="44" spans="1:11" s="316" customFormat="1" ht="12.75" customHeight="1">
      <c r="A44" s="489"/>
      <c r="B44" s="477"/>
      <c r="C44" s="338" t="s">
        <v>773</v>
      </c>
      <c r="D44" s="339">
        <f t="shared" si="9"/>
        <v>0</v>
      </c>
      <c r="E44" s="339"/>
      <c r="F44" s="339"/>
      <c r="G44" s="339"/>
      <c r="H44" s="339"/>
      <c r="I44" s="339"/>
      <c r="J44" s="339">
        <v>0</v>
      </c>
      <c r="K44" s="339"/>
    </row>
    <row r="45" spans="1:11" s="316" customFormat="1" ht="12.75" customHeight="1">
      <c r="A45" s="490"/>
      <c r="B45" s="483"/>
      <c r="C45" s="338" t="s">
        <v>774</v>
      </c>
      <c r="D45" s="339">
        <f t="shared" si="9"/>
        <v>0.5528571428571429</v>
      </c>
      <c r="E45" s="339"/>
      <c r="F45" s="339"/>
      <c r="G45" s="339"/>
      <c r="H45" s="339"/>
      <c r="I45" s="339"/>
      <c r="J45" s="339">
        <v>0.5528571428571429</v>
      </c>
      <c r="K45" s="339"/>
    </row>
    <row r="46" spans="1:11" s="316" customFormat="1" ht="26.25" customHeight="1">
      <c r="A46" s="488" t="s">
        <v>708</v>
      </c>
      <c r="B46" s="476" t="s">
        <v>461</v>
      </c>
      <c r="C46" s="337" t="s">
        <v>805</v>
      </c>
      <c r="D46" s="339">
        <f t="shared" si="9"/>
        <v>7.022190476190477</v>
      </c>
      <c r="E46" s="340">
        <f aca="true" t="shared" si="13" ref="E46:K46">SUM(E47:E51)</f>
        <v>1.596</v>
      </c>
      <c r="F46" s="340">
        <f t="shared" si="13"/>
        <v>0</v>
      </c>
      <c r="G46" s="340">
        <f t="shared" si="13"/>
        <v>2.1500000000000004</v>
      </c>
      <c r="H46" s="340">
        <f t="shared" si="13"/>
        <v>0</v>
      </c>
      <c r="I46" s="340">
        <f t="shared" si="13"/>
        <v>1.8428571428571432</v>
      </c>
      <c r="J46" s="340">
        <f t="shared" si="13"/>
        <v>0</v>
      </c>
      <c r="K46" s="340">
        <f t="shared" si="13"/>
        <v>1.4333333333333333</v>
      </c>
    </row>
    <row r="47" spans="1:11" s="316" customFormat="1" ht="12.75" customHeight="1">
      <c r="A47" s="489"/>
      <c r="B47" s="477"/>
      <c r="C47" s="338" t="s">
        <v>770</v>
      </c>
      <c r="D47" s="339">
        <f t="shared" si="9"/>
        <v>2.066757142857143</v>
      </c>
      <c r="E47" s="339">
        <f>'[2]Прил.7 Список жилье'!$H$26/1000</f>
        <v>0.43889999999999996</v>
      </c>
      <c r="F47" s="339">
        <v>0</v>
      </c>
      <c r="G47" s="339">
        <v>0.645</v>
      </c>
      <c r="H47" s="339"/>
      <c r="I47" s="339">
        <v>0.5528571428571429</v>
      </c>
      <c r="J47" s="339"/>
      <c r="K47" s="339">
        <v>0.43</v>
      </c>
    </row>
    <row r="48" spans="1:11" s="316" customFormat="1" ht="12.75" customHeight="1">
      <c r="A48" s="489"/>
      <c r="B48" s="477"/>
      <c r="C48" s="338" t="s">
        <v>771</v>
      </c>
      <c r="D48" s="339">
        <f t="shared" si="9"/>
        <v>1.884015142857143</v>
      </c>
      <c r="E48" s="339">
        <f>'[2]Прил.7 Список жилье'!$I$26/1000</f>
        <v>0.256158</v>
      </c>
      <c r="F48" s="339">
        <v>0</v>
      </c>
      <c r="G48" s="339">
        <v>0.645</v>
      </c>
      <c r="H48" s="339"/>
      <c r="I48" s="339">
        <v>0.5528571428571429</v>
      </c>
      <c r="J48" s="339"/>
      <c r="K48" s="339">
        <v>0.43</v>
      </c>
    </row>
    <row r="49" spans="1:11" s="316" customFormat="1" ht="12.75" customHeight="1">
      <c r="A49" s="489"/>
      <c r="B49" s="477"/>
      <c r="C49" s="338" t="s">
        <v>772</v>
      </c>
      <c r="D49" s="339">
        <f t="shared" si="9"/>
        <v>0.6862590476190475</v>
      </c>
      <c r="E49" s="339">
        <f>'[2]Прил.7 Список жилье'!$J$26/1000</f>
        <v>0.14364</v>
      </c>
      <c r="F49" s="339">
        <v>0</v>
      </c>
      <c r="G49" s="339">
        <v>0.215</v>
      </c>
      <c r="H49" s="339"/>
      <c r="I49" s="339">
        <v>0.1842857142857143</v>
      </c>
      <c r="J49" s="339"/>
      <c r="K49" s="339">
        <v>0.14333333333333334</v>
      </c>
    </row>
    <row r="50" spans="1:11" s="316" customFormat="1" ht="12.75" customHeight="1">
      <c r="A50" s="489"/>
      <c r="B50" s="477"/>
      <c r="C50" s="338" t="s">
        <v>773</v>
      </c>
      <c r="D50" s="339">
        <f t="shared" si="9"/>
        <v>0</v>
      </c>
      <c r="E50" s="339"/>
      <c r="F50" s="339">
        <v>0</v>
      </c>
      <c r="G50" s="339">
        <v>0</v>
      </c>
      <c r="H50" s="339"/>
      <c r="I50" s="339">
        <v>0</v>
      </c>
      <c r="J50" s="339"/>
      <c r="K50" s="339">
        <v>0</v>
      </c>
    </row>
    <row r="51" spans="1:11" s="316" customFormat="1" ht="12.75" customHeight="1">
      <c r="A51" s="490"/>
      <c r="B51" s="483"/>
      <c r="C51" s="338" t="s">
        <v>774</v>
      </c>
      <c r="D51" s="339">
        <f t="shared" si="9"/>
        <v>2.3851591428571433</v>
      </c>
      <c r="E51" s="339">
        <f>'[2]Прил.7 Список жилье'!$K$26/1000</f>
        <v>0.757302</v>
      </c>
      <c r="F51" s="339">
        <v>0</v>
      </c>
      <c r="G51" s="339">
        <v>0.645</v>
      </c>
      <c r="H51" s="339"/>
      <c r="I51" s="339">
        <v>0.5528571428571429</v>
      </c>
      <c r="J51" s="339"/>
      <c r="K51" s="339">
        <v>0.43</v>
      </c>
    </row>
    <row r="52" spans="1:11" s="316" customFormat="1" ht="25.5" customHeight="1">
      <c r="A52" s="488" t="s">
        <v>709</v>
      </c>
      <c r="B52" s="476" t="s">
        <v>462</v>
      </c>
      <c r="C52" s="337" t="s">
        <v>805</v>
      </c>
      <c r="D52" s="339">
        <f t="shared" si="9"/>
        <v>7.190285714285714</v>
      </c>
      <c r="E52" s="340">
        <f aca="true" t="shared" si="14" ref="E52:K52">SUM(E53:E57)</f>
        <v>0</v>
      </c>
      <c r="F52" s="340">
        <f t="shared" si="14"/>
        <v>2.276</v>
      </c>
      <c r="G52" s="340">
        <f t="shared" si="14"/>
        <v>2.1500000000000004</v>
      </c>
      <c r="H52" s="340">
        <f t="shared" si="14"/>
        <v>0</v>
      </c>
      <c r="I52" s="340">
        <f t="shared" si="14"/>
        <v>0</v>
      </c>
      <c r="J52" s="340">
        <f t="shared" si="14"/>
        <v>2.7642857142857147</v>
      </c>
      <c r="K52" s="340">
        <f t="shared" si="14"/>
        <v>0</v>
      </c>
    </row>
    <row r="53" spans="1:11" s="316" customFormat="1" ht="12.75" customHeight="1">
      <c r="A53" s="489"/>
      <c r="B53" s="477"/>
      <c r="C53" s="338" t="s">
        <v>770</v>
      </c>
      <c r="D53" s="339">
        <f t="shared" si="9"/>
        <v>2.1567857142857143</v>
      </c>
      <c r="E53" s="339"/>
      <c r="F53" s="339">
        <v>0.6825</v>
      </c>
      <c r="G53" s="339">
        <v>0.645</v>
      </c>
      <c r="H53" s="339"/>
      <c r="I53" s="339"/>
      <c r="J53" s="339">
        <v>0.8292857142857144</v>
      </c>
      <c r="K53" s="339"/>
    </row>
    <row r="54" spans="1:11" s="316" customFormat="1" ht="12.75" customHeight="1">
      <c r="A54" s="489"/>
      <c r="B54" s="477"/>
      <c r="C54" s="338" t="s">
        <v>771</v>
      </c>
      <c r="D54" s="339">
        <f t="shared" si="9"/>
        <v>2.1567857142857143</v>
      </c>
      <c r="E54" s="339"/>
      <c r="F54" s="339">
        <v>0.6825</v>
      </c>
      <c r="G54" s="339">
        <v>0.645</v>
      </c>
      <c r="H54" s="339"/>
      <c r="I54" s="339"/>
      <c r="J54" s="339">
        <v>0.8292857142857144</v>
      </c>
      <c r="K54" s="339"/>
    </row>
    <row r="55" spans="1:11" s="316" customFormat="1" ht="12.75" customHeight="1">
      <c r="A55" s="489"/>
      <c r="B55" s="477"/>
      <c r="C55" s="338" t="s">
        <v>772</v>
      </c>
      <c r="D55" s="339">
        <f t="shared" si="9"/>
        <v>0.7194285714285715</v>
      </c>
      <c r="E55" s="339"/>
      <c r="F55" s="339">
        <v>0.228</v>
      </c>
      <c r="G55" s="339">
        <v>0.215</v>
      </c>
      <c r="H55" s="339"/>
      <c r="I55" s="339"/>
      <c r="J55" s="339">
        <v>0.27642857142857147</v>
      </c>
      <c r="K55" s="339"/>
    </row>
    <row r="56" spans="1:11" s="316" customFormat="1" ht="12.75" customHeight="1">
      <c r="A56" s="489"/>
      <c r="B56" s="477"/>
      <c r="C56" s="338" t="s">
        <v>773</v>
      </c>
      <c r="D56" s="339">
        <f t="shared" si="9"/>
        <v>0</v>
      </c>
      <c r="E56" s="339"/>
      <c r="F56" s="339">
        <v>0</v>
      </c>
      <c r="G56" s="339">
        <v>0</v>
      </c>
      <c r="H56" s="339"/>
      <c r="I56" s="339"/>
      <c r="J56" s="339">
        <v>0</v>
      </c>
      <c r="K56" s="339"/>
    </row>
    <row r="57" spans="1:11" s="316" customFormat="1" ht="12.75" customHeight="1">
      <c r="A57" s="490"/>
      <c r="B57" s="483"/>
      <c r="C57" s="338" t="s">
        <v>774</v>
      </c>
      <c r="D57" s="339">
        <f t="shared" si="9"/>
        <v>2.1572857142857145</v>
      </c>
      <c r="E57" s="339"/>
      <c r="F57" s="339">
        <v>0.683</v>
      </c>
      <c r="G57" s="339">
        <v>0.645</v>
      </c>
      <c r="H57" s="339"/>
      <c r="I57" s="339"/>
      <c r="J57" s="339">
        <v>0.8292857142857144</v>
      </c>
      <c r="K57" s="339"/>
    </row>
    <row r="58" spans="1:11" s="316" customFormat="1" ht="26.25" customHeight="1">
      <c r="A58" s="474" t="s">
        <v>710</v>
      </c>
      <c r="B58" s="476" t="s">
        <v>463</v>
      </c>
      <c r="C58" s="337" t="s">
        <v>805</v>
      </c>
      <c r="D58" s="339">
        <f t="shared" si="9"/>
        <v>1.0750000000000002</v>
      </c>
      <c r="E58" s="340">
        <f aca="true" t="shared" si="15" ref="E58:K58">SUM(E59:E63)</f>
        <v>0</v>
      </c>
      <c r="F58" s="340">
        <f t="shared" si="15"/>
        <v>0</v>
      </c>
      <c r="G58" s="340">
        <f t="shared" si="15"/>
        <v>1.0750000000000002</v>
      </c>
      <c r="H58" s="340">
        <f t="shared" si="15"/>
        <v>0</v>
      </c>
      <c r="I58" s="340">
        <f t="shared" si="15"/>
        <v>0</v>
      </c>
      <c r="J58" s="340">
        <f t="shared" si="15"/>
        <v>0</v>
      </c>
      <c r="K58" s="340">
        <f t="shared" si="15"/>
        <v>0</v>
      </c>
    </row>
    <row r="59" spans="1:15" s="316" customFormat="1" ht="12.75" customHeight="1">
      <c r="A59" s="475"/>
      <c r="B59" s="477"/>
      <c r="C59" s="338" t="s">
        <v>770</v>
      </c>
      <c r="D59" s="339">
        <f t="shared" si="9"/>
        <v>0.3225</v>
      </c>
      <c r="E59" s="339"/>
      <c r="F59" s="339"/>
      <c r="G59" s="339">
        <v>0.3225</v>
      </c>
      <c r="H59" s="339"/>
      <c r="I59" s="339"/>
      <c r="J59" s="339"/>
      <c r="K59" s="339"/>
      <c r="O59" s="316" t="s">
        <v>3</v>
      </c>
    </row>
    <row r="60" spans="1:11" s="316" customFormat="1" ht="12.75" customHeight="1">
      <c r="A60" s="475"/>
      <c r="B60" s="477"/>
      <c r="C60" s="338" t="s">
        <v>771</v>
      </c>
      <c r="D60" s="339">
        <f t="shared" si="9"/>
        <v>0.3225</v>
      </c>
      <c r="E60" s="339"/>
      <c r="F60" s="339"/>
      <c r="G60" s="339">
        <v>0.3225</v>
      </c>
      <c r="H60" s="339"/>
      <c r="I60" s="339"/>
      <c r="J60" s="339"/>
      <c r="K60" s="339"/>
    </row>
    <row r="61" spans="1:11" s="316" customFormat="1" ht="12.75" customHeight="1">
      <c r="A61" s="475"/>
      <c r="B61" s="477"/>
      <c r="C61" s="338" t="s">
        <v>772</v>
      </c>
      <c r="D61" s="339">
        <f t="shared" si="9"/>
        <v>0.1075</v>
      </c>
      <c r="E61" s="339"/>
      <c r="F61" s="339"/>
      <c r="G61" s="339">
        <v>0.1075</v>
      </c>
      <c r="H61" s="339"/>
      <c r="I61" s="339"/>
      <c r="J61" s="339"/>
      <c r="K61" s="339"/>
    </row>
    <row r="62" spans="1:11" s="316" customFormat="1" ht="12.75" customHeight="1">
      <c r="A62" s="475"/>
      <c r="B62" s="477"/>
      <c r="C62" s="338" t="s">
        <v>773</v>
      </c>
      <c r="D62" s="339">
        <f t="shared" si="9"/>
        <v>0</v>
      </c>
      <c r="E62" s="339"/>
      <c r="F62" s="339"/>
      <c r="G62" s="339">
        <v>0</v>
      </c>
      <c r="H62" s="339"/>
      <c r="I62" s="339"/>
      <c r="J62" s="339"/>
      <c r="K62" s="339"/>
    </row>
    <row r="63" spans="1:11" s="316" customFormat="1" ht="12.75" customHeight="1">
      <c r="A63" s="482"/>
      <c r="B63" s="483"/>
      <c r="C63" s="338" t="s">
        <v>774</v>
      </c>
      <c r="D63" s="339">
        <f t="shared" si="9"/>
        <v>0.3225</v>
      </c>
      <c r="E63" s="339"/>
      <c r="F63" s="339"/>
      <c r="G63" s="339">
        <v>0.3225</v>
      </c>
      <c r="H63" s="339"/>
      <c r="I63" s="339"/>
      <c r="J63" s="339"/>
      <c r="K63" s="339"/>
    </row>
    <row r="64" spans="1:11" s="316" customFormat="1" ht="25.5" customHeight="1">
      <c r="A64" s="474" t="s">
        <v>711</v>
      </c>
      <c r="B64" s="476" t="s">
        <v>464</v>
      </c>
      <c r="C64" s="337" t="s">
        <v>805</v>
      </c>
      <c r="D64" s="339">
        <f t="shared" si="9"/>
        <v>2.322</v>
      </c>
      <c r="E64" s="340">
        <f aca="true" t="shared" si="16" ref="E64:K64">SUM(E65:E69)</f>
        <v>0</v>
      </c>
      <c r="F64" s="340">
        <f t="shared" si="16"/>
        <v>0</v>
      </c>
      <c r="G64" s="340">
        <f t="shared" si="16"/>
        <v>0</v>
      </c>
      <c r="H64" s="340">
        <f t="shared" si="16"/>
        <v>2.322</v>
      </c>
      <c r="I64" s="340">
        <f t="shared" si="16"/>
        <v>0</v>
      </c>
      <c r="J64" s="340">
        <f t="shared" si="16"/>
        <v>0</v>
      </c>
      <c r="K64" s="340">
        <f t="shared" si="16"/>
        <v>0</v>
      </c>
    </row>
    <row r="65" spans="1:11" s="316" customFormat="1" ht="12.75" customHeight="1">
      <c r="A65" s="475"/>
      <c r="B65" s="477"/>
      <c r="C65" s="338" t="s">
        <v>770</v>
      </c>
      <c r="D65" s="339">
        <f t="shared" si="9"/>
        <v>0.6966</v>
      </c>
      <c r="E65" s="339"/>
      <c r="F65" s="339"/>
      <c r="G65" s="339"/>
      <c r="H65" s="339">
        <v>0.6966</v>
      </c>
      <c r="I65" s="339"/>
      <c r="J65" s="339"/>
      <c r="K65" s="339"/>
    </row>
    <row r="66" spans="1:11" s="316" customFormat="1" ht="12.75" customHeight="1">
      <c r="A66" s="475"/>
      <c r="B66" s="477"/>
      <c r="C66" s="338" t="s">
        <v>771</v>
      </c>
      <c r="D66" s="339">
        <f t="shared" si="9"/>
        <v>0.6966</v>
      </c>
      <c r="E66" s="339"/>
      <c r="F66" s="339"/>
      <c r="G66" s="339"/>
      <c r="H66" s="339">
        <v>0.6966</v>
      </c>
      <c r="I66" s="339"/>
      <c r="J66" s="339"/>
      <c r="K66" s="339"/>
    </row>
    <row r="67" spans="1:11" s="316" customFormat="1" ht="12.75" customHeight="1">
      <c r="A67" s="475"/>
      <c r="B67" s="477"/>
      <c r="C67" s="338" t="s">
        <v>772</v>
      </c>
      <c r="D67" s="339">
        <f t="shared" si="9"/>
        <v>0.2322</v>
      </c>
      <c r="E67" s="339"/>
      <c r="F67" s="339"/>
      <c r="G67" s="339"/>
      <c r="H67" s="339">
        <v>0.2322</v>
      </c>
      <c r="I67" s="339"/>
      <c r="J67" s="339"/>
      <c r="K67" s="339"/>
    </row>
    <row r="68" spans="1:11" s="316" customFormat="1" ht="12.75" customHeight="1">
      <c r="A68" s="475"/>
      <c r="B68" s="477"/>
      <c r="C68" s="338" t="s">
        <v>773</v>
      </c>
      <c r="D68" s="339">
        <f t="shared" si="9"/>
        <v>0</v>
      </c>
      <c r="E68" s="339"/>
      <c r="F68" s="339"/>
      <c r="G68" s="339"/>
      <c r="H68" s="339">
        <v>0</v>
      </c>
      <c r="I68" s="339"/>
      <c r="J68" s="339"/>
      <c r="K68" s="339"/>
    </row>
    <row r="69" spans="1:11" s="316" customFormat="1" ht="12.75" customHeight="1">
      <c r="A69" s="482"/>
      <c r="B69" s="483"/>
      <c r="C69" s="338" t="s">
        <v>774</v>
      </c>
      <c r="D69" s="339">
        <f t="shared" si="9"/>
        <v>0.6966</v>
      </c>
      <c r="E69" s="339"/>
      <c r="F69" s="339"/>
      <c r="G69" s="339"/>
      <c r="H69" s="339">
        <v>0.6966</v>
      </c>
      <c r="I69" s="339"/>
      <c r="J69" s="339"/>
      <c r="K69" s="339"/>
    </row>
    <row r="70" spans="1:11" s="316" customFormat="1" ht="24.75" customHeight="1">
      <c r="A70" s="474" t="s">
        <v>712</v>
      </c>
      <c r="B70" s="476" t="s">
        <v>465</v>
      </c>
      <c r="C70" s="337" t="s">
        <v>805</v>
      </c>
      <c r="D70" s="339">
        <f t="shared" si="9"/>
        <v>3.769663865546219</v>
      </c>
      <c r="E70" s="340">
        <f aca="true" t="shared" si="17" ref="E70:K70">SUM(E71:E75)</f>
        <v>1.71</v>
      </c>
      <c r="F70" s="340">
        <f t="shared" si="17"/>
        <v>1.1382352941176475</v>
      </c>
      <c r="G70" s="340">
        <f t="shared" si="17"/>
        <v>0</v>
      </c>
      <c r="H70" s="340">
        <f t="shared" si="17"/>
        <v>0</v>
      </c>
      <c r="I70" s="340">
        <f t="shared" si="17"/>
        <v>0.9214285714285716</v>
      </c>
      <c r="J70" s="340">
        <f t="shared" si="17"/>
        <v>0</v>
      </c>
      <c r="K70" s="340">
        <f t="shared" si="17"/>
        <v>0</v>
      </c>
    </row>
    <row r="71" spans="1:11" s="316" customFormat="1" ht="12.75" customHeight="1">
      <c r="A71" s="475"/>
      <c r="B71" s="477"/>
      <c r="C71" s="338" t="s">
        <v>770</v>
      </c>
      <c r="D71" s="339">
        <f t="shared" si="9"/>
        <v>1.0453991596638657</v>
      </c>
      <c r="E71" s="339">
        <f>'[2]Прил.7 Список жилье'!$H$40/1000</f>
        <v>0.4275</v>
      </c>
      <c r="F71" s="339">
        <v>0.3414705882352942</v>
      </c>
      <c r="G71" s="339"/>
      <c r="H71" s="339"/>
      <c r="I71" s="339">
        <v>0.27642857142857147</v>
      </c>
      <c r="J71" s="339"/>
      <c r="K71" s="339"/>
    </row>
    <row r="72" spans="1:11" s="316" customFormat="1" ht="12.75" customHeight="1">
      <c r="A72" s="475"/>
      <c r="B72" s="477"/>
      <c r="C72" s="338" t="s">
        <v>771</v>
      </c>
      <c r="D72" s="339">
        <f t="shared" si="9"/>
        <v>0.8401991596638656</v>
      </c>
      <c r="E72" s="339">
        <f>'[2]Прил.7 Список жилье'!$I$40/1000</f>
        <v>0.2223</v>
      </c>
      <c r="F72" s="339">
        <v>0.3414705882352942</v>
      </c>
      <c r="G72" s="339"/>
      <c r="H72" s="339"/>
      <c r="I72" s="339">
        <v>0.27642857142857147</v>
      </c>
      <c r="J72" s="339"/>
      <c r="K72" s="339"/>
    </row>
    <row r="73" spans="1:11" s="316" customFormat="1" ht="12.75" customHeight="1">
      <c r="A73" s="475"/>
      <c r="B73" s="477"/>
      <c r="C73" s="338" t="s">
        <v>772</v>
      </c>
      <c r="D73" s="339">
        <f t="shared" si="9"/>
        <v>0.3598663865546219</v>
      </c>
      <c r="E73" s="339">
        <f>'[2]Прил.7 Список жилье'!$J$40/1000</f>
        <v>0.1539</v>
      </c>
      <c r="F73" s="339">
        <v>0.11382352941176473</v>
      </c>
      <c r="G73" s="339"/>
      <c r="H73" s="339"/>
      <c r="I73" s="339">
        <v>0.09214285714285715</v>
      </c>
      <c r="J73" s="339"/>
      <c r="K73" s="339"/>
    </row>
    <row r="74" spans="1:11" s="316" customFormat="1" ht="12.75" customHeight="1">
      <c r="A74" s="475"/>
      <c r="B74" s="477"/>
      <c r="C74" s="338" t="s">
        <v>773</v>
      </c>
      <c r="D74" s="339">
        <f t="shared" si="9"/>
        <v>0</v>
      </c>
      <c r="E74" s="339"/>
      <c r="F74" s="339">
        <v>0</v>
      </c>
      <c r="G74" s="339"/>
      <c r="H74" s="339"/>
      <c r="I74" s="339">
        <v>0</v>
      </c>
      <c r="J74" s="339"/>
      <c r="K74" s="339"/>
    </row>
    <row r="75" spans="1:11" s="316" customFormat="1" ht="12.75" customHeight="1">
      <c r="A75" s="482"/>
      <c r="B75" s="483"/>
      <c r="C75" s="338" t="s">
        <v>774</v>
      </c>
      <c r="D75" s="339">
        <f t="shared" si="9"/>
        <v>1.5241991596638658</v>
      </c>
      <c r="E75" s="339">
        <f>'[2]Прил.7 Список жилье'!$K$40/1000</f>
        <v>0.9063000000000001</v>
      </c>
      <c r="F75" s="339">
        <v>0.3414705882352942</v>
      </c>
      <c r="G75" s="339"/>
      <c r="H75" s="339"/>
      <c r="I75" s="339">
        <v>0.27642857142857147</v>
      </c>
      <c r="J75" s="339"/>
      <c r="K75" s="339"/>
    </row>
    <row r="76" spans="1:11" s="316" customFormat="1" ht="25.5" customHeight="1">
      <c r="A76" s="474" t="s">
        <v>713</v>
      </c>
      <c r="B76" s="476" t="s">
        <v>466</v>
      </c>
      <c r="C76" s="337" t="s">
        <v>805</v>
      </c>
      <c r="D76" s="339">
        <f t="shared" si="9"/>
        <v>5.067857142857144</v>
      </c>
      <c r="E76" s="340">
        <f aca="true" t="shared" si="18" ref="E76:K76">SUM(E77:E81)</f>
        <v>0</v>
      </c>
      <c r="F76" s="340">
        <f t="shared" si="18"/>
        <v>0</v>
      </c>
      <c r="G76" s="340">
        <f t="shared" si="18"/>
        <v>1.0750000000000002</v>
      </c>
      <c r="H76" s="340">
        <f t="shared" si="18"/>
        <v>0</v>
      </c>
      <c r="I76" s="340">
        <f t="shared" si="18"/>
        <v>1.8428571428571432</v>
      </c>
      <c r="J76" s="340">
        <f t="shared" si="18"/>
        <v>0</v>
      </c>
      <c r="K76" s="340">
        <f t="shared" si="18"/>
        <v>2.1500000000000004</v>
      </c>
    </row>
    <row r="77" spans="1:11" s="316" customFormat="1" ht="12.75" customHeight="1">
      <c r="A77" s="475"/>
      <c r="B77" s="477"/>
      <c r="C77" s="338" t="s">
        <v>770</v>
      </c>
      <c r="D77" s="339">
        <f t="shared" si="9"/>
        <v>1.520357142857143</v>
      </c>
      <c r="E77" s="339"/>
      <c r="F77" s="339">
        <v>0</v>
      </c>
      <c r="G77" s="339">
        <v>0.3225</v>
      </c>
      <c r="H77" s="339"/>
      <c r="I77" s="339">
        <v>0.5528571428571429</v>
      </c>
      <c r="J77" s="339"/>
      <c r="K77" s="339">
        <v>0.645</v>
      </c>
    </row>
    <row r="78" spans="1:11" s="316" customFormat="1" ht="12.75" customHeight="1">
      <c r="A78" s="475"/>
      <c r="B78" s="477"/>
      <c r="C78" s="338" t="s">
        <v>771</v>
      </c>
      <c r="D78" s="339">
        <f t="shared" si="9"/>
        <v>1.520357142857143</v>
      </c>
      <c r="E78" s="339"/>
      <c r="F78" s="339">
        <v>0</v>
      </c>
      <c r="G78" s="339">
        <v>0.3225</v>
      </c>
      <c r="H78" s="339"/>
      <c r="I78" s="339">
        <v>0.5528571428571429</v>
      </c>
      <c r="J78" s="339"/>
      <c r="K78" s="339">
        <v>0.645</v>
      </c>
    </row>
    <row r="79" spans="1:11" s="316" customFormat="1" ht="12.75" customHeight="1">
      <c r="A79" s="475"/>
      <c r="B79" s="477"/>
      <c r="C79" s="338" t="s">
        <v>772</v>
      </c>
      <c r="D79" s="339">
        <f t="shared" si="9"/>
        <v>0.5067857142857143</v>
      </c>
      <c r="E79" s="339"/>
      <c r="F79" s="339">
        <v>0</v>
      </c>
      <c r="G79" s="339">
        <v>0.1075</v>
      </c>
      <c r="H79" s="339"/>
      <c r="I79" s="339">
        <v>0.1842857142857143</v>
      </c>
      <c r="J79" s="339"/>
      <c r="K79" s="339">
        <v>0.215</v>
      </c>
    </row>
    <row r="80" spans="1:11" s="316" customFormat="1" ht="12.75" customHeight="1">
      <c r="A80" s="475"/>
      <c r="B80" s="477"/>
      <c r="C80" s="338" t="s">
        <v>773</v>
      </c>
      <c r="D80" s="339">
        <f t="shared" si="9"/>
        <v>0</v>
      </c>
      <c r="E80" s="339"/>
      <c r="F80" s="339">
        <v>0</v>
      </c>
      <c r="G80" s="339">
        <v>0</v>
      </c>
      <c r="H80" s="339"/>
      <c r="I80" s="339">
        <v>0</v>
      </c>
      <c r="J80" s="339"/>
      <c r="K80" s="339">
        <v>0</v>
      </c>
    </row>
    <row r="81" spans="1:11" s="316" customFormat="1" ht="12.75" customHeight="1">
      <c r="A81" s="482"/>
      <c r="B81" s="483"/>
      <c r="C81" s="338" t="s">
        <v>774</v>
      </c>
      <c r="D81" s="339">
        <f t="shared" si="9"/>
        <v>1.520357142857143</v>
      </c>
      <c r="E81" s="339"/>
      <c r="F81" s="339">
        <v>0</v>
      </c>
      <c r="G81" s="339">
        <v>0.3225</v>
      </c>
      <c r="H81" s="339"/>
      <c r="I81" s="339">
        <v>0.5528571428571429</v>
      </c>
      <c r="J81" s="339"/>
      <c r="K81" s="339">
        <v>0.645</v>
      </c>
    </row>
    <row r="82" spans="1:11" s="316" customFormat="1" ht="25.5" customHeight="1">
      <c r="A82" s="474" t="s">
        <v>714</v>
      </c>
      <c r="B82" s="476" t="s">
        <v>467</v>
      </c>
      <c r="C82" s="337" t="s">
        <v>805</v>
      </c>
      <c r="D82" s="339">
        <f t="shared" si="9"/>
        <v>4.386504201680673</v>
      </c>
      <c r="E82" s="340">
        <f aca="true" t="shared" si="19" ref="E82:K82">SUM(E83:E87)</f>
        <v>1.026</v>
      </c>
      <c r="F82" s="340">
        <f t="shared" si="19"/>
        <v>1.5176470588235296</v>
      </c>
      <c r="G82" s="340">
        <f t="shared" si="19"/>
        <v>0</v>
      </c>
      <c r="H82" s="340">
        <f t="shared" si="19"/>
        <v>0</v>
      </c>
      <c r="I82" s="340">
        <f t="shared" si="19"/>
        <v>0</v>
      </c>
      <c r="J82" s="340">
        <f t="shared" si="19"/>
        <v>1.8428571428571432</v>
      </c>
      <c r="K82" s="340">
        <f t="shared" si="19"/>
        <v>0</v>
      </c>
    </row>
    <row r="83" spans="1:11" s="316" customFormat="1" ht="12.75" customHeight="1">
      <c r="A83" s="475"/>
      <c r="B83" s="477"/>
      <c r="C83" s="338" t="s">
        <v>770</v>
      </c>
      <c r="D83" s="339">
        <f t="shared" si="9"/>
        <v>1.3159512605042019</v>
      </c>
      <c r="E83" s="339">
        <f>'[2]Прил.7 Список жилье'!$H$54/1000</f>
        <v>0.3078</v>
      </c>
      <c r="F83" s="339">
        <v>0.45529411764705885</v>
      </c>
      <c r="G83" s="339"/>
      <c r="H83" s="339"/>
      <c r="I83" s="339"/>
      <c r="J83" s="339">
        <v>0.5528571428571429</v>
      </c>
      <c r="K83" s="339"/>
    </row>
    <row r="84" spans="1:11" s="316" customFormat="1" ht="12.75" customHeight="1">
      <c r="A84" s="475"/>
      <c r="B84" s="477"/>
      <c r="C84" s="338" t="s">
        <v>771</v>
      </c>
      <c r="D84" s="339">
        <f t="shared" si="9"/>
        <v>1.2041172605042019</v>
      </c>
      <c r="E84" s="339">
        <f>'[2]Прил.7 Список жилье'!$I$54/1000</f>
        <v>0.195966</v>
      </c>
      <c r="F84" s="339">
        <v>0.45529411764705885</v>
      </c>
      <c r="G84" s="339"/>
      <c r="H84" s="339"/>
      <c r="I84" s="339"/>
      <c r="J84" s="339">
        <v>0.5528571428571429</v>
      </c>
      <c r="K84" s="339"/>
    </row>
    <row r="85" spans="1:11" s="316" customFormat="1" ht="12.75" customHeight="1">
      <c r="A85" s="475"/>
      <c r="B85" s="477"/>
      <c r="C85" s="338" t="s">
        <v>772</v>
      </c>
      <c r="D85" s="339">
        <f t="shared" si="9"/>
        <v>0.4283904201680673</v>
      </c>
      <c r="E85" s="339">
        <f>'[2]Прил.7 Список жилье'!$J$54/1000</f>
        <v>0.09234</v>
      </c>
      <c r="F85" s="339">
        <v>0.15176470588235294</v>
      </c>
      <c r="G85" s="339"/>
      <c r="H85" s="339"/>
      <c r="I85" s="339"/>
      <c r="J85" s="339">
        <v>0.1842857142857143</v>
      </c>
      <c r="K85" s="339"/>
    </row>
    <row r="86" spans="1:11" s="316" customFormat="1" ht="12.75" customHeight="1">
      <c r="A86" s="475"/>
      <c r="B86" s="477"/>
      <c r="C86" s="338" t="s">
        <v>773</v>
      </c>
      <c r="D86" s="339">
        <f t="shared" si="9"/>
        <v>0</v>
      </c>
      <c r="E86" s="339"/>
      <c r="F86" s="339">
        <v>0</v>
      </c>
      <c r="G86" s="339"/>
      <c r="H86" s="339"/>
      <c r="I86" s="339"/>
      <c r="J86" s="339">
        <v>0</v>
      </c>
      <c r="K86" s="339"/>
    </row>
    <row r="87" spans="1:11" s="316" customFormat="1" ht="12.75" customHeight="1">
      <c r="A87" s="482"/>
      <c r="B87" s="483"/>
      <c r="C87" s="338" t="s">
        <v>774</v>
      </c>
      <c r="D87" s="339">
        <f t="shared" si="9"/>
        <v>1.4380452605042018</v>
      </c>
      <c r="E87" s="339">
        <f>'[2]Прил.7 Список жилье'!$K$54/1000</f>
        <v>0.429894</v>
      </c>
      <c r="F87" s="339">
        <v>0.45529411764705885</v>
      </c>
      <c r="G87" s="339"/>
      <c r="H87" s="339"/>
      <c r="I87" s="339"/>
      <c r="J87" s="339">
        <v>0.5528571428571429</v>
      </c>
      <c r="K87" s="339"/>
    </row>
    <row r="88" spans="1:11" ht="27" customHeight="1">
      <c r="A88" s="487" t="s">
        <v>60</v>
      </c>
      <c r="B88" s="479" t="s">
        <v>846</v>
      </c>
      <c r="C88" s="333" t="s">
        <v>805</v>
      </c>
      <c r="D88" s="341">
        <f t="shared" si="9"/>
        <v>21.174000000000007</v>
      </c>
      <c r="E88" s="341">
        <f>SUM(E89:E93)</f>
        <v>1.824</v>
      </c>
      <c r="F88" s="341">
        <f aca="true" t="shared" si="20" ref="F88:K88">SUM(F89:F93)</f>
        <v>3.2250000000000005</v>
      </c>
      <c r="G88" s="341">
        <f t="shared" si="20"/>
        <v>3.2250000000000005</v>
      </c>
      <c r="H88" s="341">
        <f t="shared" si="20"/>
        <v>3.2250000000000005</v>
      </c>
      <c r="I88" s="341">
        <f>SUM(I89:I93)</f>
        <v>3.2250000000000005</v>
      </c>
      <c r="J88" s="341">
        <f t="shared" si="20"/>
        <v>3.2250000000000005</v>
      </c>
      <c r="K88" s="341">
        <f t="shared" si="20"/>
        <v>3.2250000000000005</v>
      </c>
    </row>
    <row r="89" spans="1:11" ht="12.75" customHeight="1">
      <c r="A89" s="487"/>
      <c r="B89" s="480"/>
      <c r="C89" s="335" t="s">
        <v>770</v>
      </c>
      <c r="D89" s="342">
        <f t="shared" si="9"/>
        <v>6.352200000000001</v>
      </c>
      <c r="E89" s="342">
        <f>E96+E102+E108+E114+E120+E126+E132+E138+E144</f>
        <v>0.5472</v>
      </c>
      <c r="F89" s="342">
        <f aca="true" t="shared" si="21" ref="F89:K93">F96+F102+F108+F114+F120+F126+F132+F138</f>
        <v>0.9675</v>
      </c>
      <c r="G89" s="342">
        <f t="shared" si="21"/>
        <v>0.9675</v>
      </c>
      <c r="H89" s="342">
        <f t="shared" si="21"/>
        <v>0.9675</v>
      </c>
      <c r="I89" s="342">
        <f t="shared" si="21"/>
        <v>0.9675</v>
      </c>
      <c r="J89" s="342">
        <f t="shared" si="21"/>
        <v>0.9675</v>
      </c>
      <c r="K89" s="342">
        <f t="shared" si="21"/>
        <v>0.9675</v>
      </c>
    </row>
    <row r="90" spans="1:11" ht="12.75" customHeight="1">
      <c r="A90" s="487"/>
      <c r="B90" s="480"/>
      <c r="C90" s="335" t="s">
        <v>771</v>
      </c>
      <c r="D90" s="342">
        <f t="shared" si="9"/>
        <v>6.153384000000001</v>
      </c>
      <c r="E90" s="342">
        <f>E97+E103+E109+E115+E121+E127+E133+E139+E145</f>
        <v>0.348384</v>
      </c>
      <c r="F90" s="342">
        <f t="shared" si="21"/>
        <v>0.9675</v>
      </c>
      <c r="G90" s="342">
        <f t="shared" si="21"/>
        <v>0.9675</v>
      </c>
      <c r="H90" s="342">
        <f t="shared" si="21"/>
        <v>0.9675</v>
      </c>
      <c r="I90" s="342">
        <f t="shared" si="21"/>
        <v>0.9675</v>
      </c>
      <c r="J90" s="342">
        <f t="shared" si="21"/>
        <v>0.9675</v>
      </c>
      <c r="K90" s="342">
        <f t="shared" si="21"/>
        <v>0.9675</v>
      </c>
    </row>
    <row r="91" spans="1:11" ht="12.75" customHeight="1">
      <c r="A91" s="487"/>
      <c r="B91" s="480"/>
      <c r="C91" s="335" t="s">
        <v>772</v>
      </c>
      <c r="D91" s="342">
        <f t="shared" si="9"/>
        <v>2.0991600000000004</v>
      </c>
      <c r="E91" s="342">
        <f>E98+E104+E110+E116+E122+E128+E134+E140+E146</f>
        <v>0.16416</v>
      </c>
      <c r="F91" s="342">
        <f t="shared" si="21"/>
        <v>0.3225</v>
      </c>
      <c r="G91" s="342">
        <f t="shared" si="21"/>
        <v>0.3225</v>
      </c>
      <c r="H91" s="342">
        <f t="shared" si="21"/>
        <v>0.3225</v>
      </c>
      <c r="I91" s="342">
        <f t="shared" si="21"/>
        <v>0.3225</v>
      </c>
      <c r="J91" s="342">
        <f t="shared" si="21"/>
        <v>0.3225</v>
      </c>
      <c r="K91" s="342">
        <f t="shared" si="21"/>
        <v>0.3225</v>
      </c>
    </row>
    <row r="92" spans="1:11" ht="12.75" customHeight="1">
      <c r="A92" s="487"/>
      <c r="B92" s="480"/>
      <c r="C92" s="335" t="s">
        <v>773</v>
      </c>
      <c r="D92" s="342">
        <f>SUM(E92:K92)</f>
        <v>0</v>
      </c>
      <c r="E92" s="342">
        <f>E99+E105+E111+E117+E123+E129+E135+E141+E147</f>
        <v>0</v>
      </c>
      <c r="F92" s="342">
        <f t="shared" si="21"/>
        <v>0</v>
      </c>
      <c r="G92" s="342">
        <f t="shared" si="21"/>
        <v>0</v>
      </c>
      <c r="H92" s="342">
        <f t="shared" si="21"/>
        <v>0</v>
      </c>
      <c r="I92" s="342">
        <f t="shared" si="21"/>
        <v>0</v>
      </c>
      <c r="J92" s="342">
        <f t="shared" si="21"/>
        <v>0</v>
      </c>
      <c r="K92" s="342">
        <f t="shared" si="21"/>
        <v>0</v>
      </c>
    </row>
    <row r="93" spans="1:11" ht="12.75" customHeight="1">
      <c r="A93" s="487"/>
      <c r="B93" s="480"/>
      <c r="C93" s="335" t="s">
        <v>774</v>
      </c>
      <c r="D93" s="342">
        <f>SUM(E93:K93)</f>
        <v>6.569256000000001</v>
      </c>
      <c r="E93" s="342">
        <f>E100+E106+E112+E118+E124+E130+E136+E142+E148</f>
        <v>0.764256</v>
      </c>
      <c r="F93" s="342">
        <f t="shared" si="21"/>
        <v>0.9675</v>
      </c>
      <c r="G93" s="342">
        <f t="shared" si="21"/>
        <v>0.9675</v>
      </c>
      <c r="H93" s="342">
        <f t="shared" si="21"/>
        <v>0.9675</v>
      </c>
      <c r="I93" s="342">
        <f t="shared" si="21"/>
        <v>0.9675</v>
      </c>
      <c r="J93" s="342">
        <f t="shared" si="21"/>
        <v>0.9675</v>
      </c>
      <c r="K93" s="342">
        <f t="shared" si="21"/>
        <v>0.9675</v>
      </c>
    </row>
    <row r="94" spans="1:11" ht="26.25" customHeight="1">
      <c r="A94" s="317"/>
      <c r="B94" s="333" t="s">
        <v>702</v>
      </c>
      <c r="C94" s="335"/>
      <c r="D94" s="339"/>
      <c r="E94" s="339"/>
      <c r="F94" s="339"/>
      <c r="G94" s="339"/>
      <c r="H94" s="339"/>
      <c r="I94" s="339"/>
      <c r="J94" s="339"/>
      <c r="K94" s="339"/>
    </row>
    <row r="95" spans="1:11" s="316" customFormat="1" ht="26.25" customHeight="1">
      <c r="A95" s="474" t="s">
        <v>645</v>
      </c>
      <c r="B95" s="476" t="s">
        <v>456</v>
      </c>
      <c r="C95" s="337" t="s">
        <v>805</v>
      </c>
      <c r="D95" s="339">
        <f aca="true" t="shared" si="22" ref="D95:D100">SUM(E95:K95)</f>
        <v>1.6125000000000003</v>
      </c>
      <c r="E95" s="340">
        <f aca="true" t="shared" si="23" ref="E95:K95">SUM(E96:E100)</f>
        <v>0</v>
      </c>
      <c r="F95" s="340">
        <f t="shared" si="23"/>
        <v>0</v>
      </c>
      <c r="G95" s="340">
        <f t="shared" si="23"/>
        <v>0</v>
      </c>
      <c r="H95" s="340">
        <f t="shared" si="23"/>
        <v>1.6125000000000003</v>
      </c>
      <c r="I95" s="340">
        <f t="shared" si="23"/>
        <v>0</v>
      </c>
      <c r="J95" s="340">
        <f t="shared" si="23"/>
        <v>0</v>
      </c>
      <c r="K95" s="340">
        <f t="shared" si="23"/>
        <v>0</v>
      </c>
    </row>
    <row r="96" spans="1:11" s="316" customFormat="1" ht="12.75" customHeight="1">
      <c r="A96" s="475"/>
      <c r="B96" s="477"/>
      <c r="C96" s="338" t="s">
        <v>770</v>
      </c>
      <c r="D96" s="339">
        <f t="shared" si="22"/>
        <v>0.48375</v>
      </c>
      <c r="E96" s="339"/>
      <c r="F96" s="339"/>
      <c r="G96" s="339"/>
      <c r="H96" s="339">
        <v>0.48375</v>
      </c>
      <c r="I96" s="339"/>
      <c r="J96" s="339"/>
      <c r="K96" s="339"/>
    </row>
    <row r="97" spans="1:11" s="316" customFormat="1" ht="12.75" customHeight="1">
      <c r="A97" s="475"/>
      <c r="B97" s="477"/>
      <c r="C97" s="338" t="s">
        <v>771</v>
      </c>
      <c r="D97" s="339">
        <f t="shared" si="22"/>
        <v>0.48375</v>
      </c>
      <c r="E97" s="339"/>
      <c r="F97" s="339"/>
      <c r="G97" s="339"/>
      <c r="H97" s="339">
        <v>0.48375</v>
      </c>
      <c r="I97" s="339"/>
      <c r="J97" s="339"/>
      <c r="K97" s="339"/>
    </row>
    <row r="98" spans="1:11" s="316" customFormat="1" ht="12.75" customHeight="1">
      <c r="A98" s="475"/>
      <c r="B98" s="477"/>
      <c r="C98" s="338" t="s">
        <v>772</v>
      </c>
      <c r="D98" s="339">
        <f t="shared" si="22"/>
        <v>0.16125</v>
      </c>
      <c r="E98" s="339"/>
      <c r="F98" s="339"/>
      <c r="G98" s="339"/>
      <c r="H98" s="339">
        <v>0.16125</v>
      </c>
      <c r="I98" s="339"/>
      <c r="J98" s="339"/>
      <c r="K98" s="339"/>
    </row>
    <row r="99" spans="1:11" s="316" customFormat="1" ht="12.75" customHeight="1">
      <c r="A99" s="475"/>
      <c r="B99" s="477"/>
      <c r="C99" s="338" t="s">
        <v>773</v>
      </c>
      <c r="D99" s="339">
        <f t="shared" si="22"/>
        <v>0</v>
      </c>
      <c r="E99" s="339"/>
      <c r="F99" s="339"/>
      <c r="G99" s="339"/>
      <c r="H99" s="339">
        <v>0</v>
      </c>
      <c r="I99" s="339"/>
      <c r="J99" s="339"/>
      <c r="K99" s="339"/>
    </row>
    <row r="100" spans="1:11" s="316" customFormat="1" ht="12.75" customHeight="1">
      <c r="A100" s="475"/>
      <c r="B100" s="477"/>
      <c r="C100" s="338" t="s">
        <v>774</v>
      </c>
      <c r="D100" s="339">
        <f t="shared" si="22"/>
        <v>0.48375</v>
      </c>
      <c r="E100" s="339"/>
      <c r="F100" s="339"/>
      <c r="G100" s="339"/>
      <c r="H100" s="339">
        <v>0.48375</v>
      </c>
      <c r="I100" s="339"/>
      <c r="J100" s="339"/>
      <c r="K100" s="339"/>
    </row>
    <row r="101" spans="1:11" s="316" customFormat="1" ht="26.25" customHeight="1">
      <c r="A101" s="474" t="s">
        <v>651</v>
      </c>
      <c r="B101" s="476" t="s">
        <v>457</v>
      </c>
      <c r="C101" s="337" t="s">
        <v>805</v>
      </c>
      <c r="D101" s="339">
        <f aca="true" t="shared" si="24" ref="D101:D124">SUM(E101:K101)</f>
        <v>1.0750000000000002</v>
      </c>
      <c r="E101" s="340">
        <f aca="true" t="shared" si="25" ref="E101:K101">SUM(E102:E106)</f>
        <v>0</v>
      </c>
      <c r="F101" s="340">
        <f t="shared" si="25"/>
        <v>0</v>
      </c>
      <c r="G101" s="340">
        <f t="shared" si="25"/>
        <v>0</v>
      </c>
      <c r="H101" s="340">
        <f t="shared" si="25"/>
        <v>0</v>
      </c>
      <c r="I101" s="340">
        <f t="shared" si="25"/>
        <v>1.0750000000000002</v>
      </c>
      <c r="J101" s="340">
        <f t="shared" si="25"/>
        <v>0</v>
      </c>
      <c r="K101" s="340">
        <f t="shared" si="25"/>
        <v>0</v>
      </c>
    </row>
    <row r="102" spans="1:11" s="316" customFormat="1" ht="12.75" customHeight="1">
      <c r="A102" s="475"/>
      <c r="B102" s="477"/>
      <c r="C102" s="338" t="s">
        <v>770</v>
      </c>
      <c r="D102" s="339">
        <f t="shared" si="24"/>
        <v>0.3225</v>
      </c>
      <c r="E102" s="339"/>
      <c r="F102" s="339">
        <v>0</v>
      </c>
      <c r="G102" s="339"/>
      <c r="H102" s="339"/>
      <c r="I102" s="339">
        <v>0.3225</v>
      </c>
      <c r="J102" s="339"/>
      <c r="K102" s="339"/>
    </row>
    <row r="103" spans="1:11" s="316" customFormat="1" ht="12.75" customHeight="1">
      <c r="A103" s="475"/>
      <c r="B103" s="477"/>
      <c r="C103" s="338" t="s">
        <v>771</v>
      </c>
      <c r="D103" s="339">
        <f t="shared" si="24"/>
        <v>0.3225</v>
      </c>
      <c r="E103" s="339"/>
      <c r="F103" s="339">
        <v>0</v>
      </c>
      <c r="G103" s="339"/>
      <c r="H103" s="339"/>
      <c r="I103" s="339">
        <v>0.3225</v>
      </c>
      <c r="J103" s="339"/>
      <c r="K103" s="339"/>
    </row>
    <row r="104" spans="1:11" s="316" customFormat="1" ht="12.75" customHeight="1">
      <c r="A104" s="475"/>
      <c r="B104" s="477"/>
      <c r="C104" s="338" t="s">
        <v>772</v>
      </c>
      <c r="D104" s="339">
        <f t="shared" si="24"/>
        <v>0.1075</v>
      </c>
      <c r="E104" s="339"/>
      <c r="F104" s="339">
        <v>0</v>
      </c>
      <c r="G104" s="339"/>
      <c r="H104" s="339"/>
      <c r="I104" s="339">
        <v>0.1075</v>
      </c>
      <c r="J104" s="339"/>
      <c r="K104" s="339"/>
    </row>
    <row r="105" spans="1:11" s="316" customFormat="1" ht="12.75" customHeight="1">
      <c r="A105" s="475"/>
      <c r="B105" s="477"/>
      <c r="C105" s="338" t="s">
        <v>773</v>
      </c>
      <c r="D105" s="339">
        <f t="shared" si="24"/>
        <v>0</v>
      </c>
      <c r="E105" s="339"/>
      <c r="F105" s="339">
        <v>0</v>
      </c>
      <c r="G105" s="339"/>
      <c r="H105" s="339"/>
      <c r="I105" s="339">
        <v>0</v>
      </c>
      <c r="J105" s="339"/>
      <c r="K105" s="339"/>
    </row>
    <row r="106" spans="1:11" s="316" customFormat="1" ht="12.75" customHeight="1">
      <c r="A106" s="475"/>
      <c r="B106" s="477"/>
      <c r="C106" s="338" t="s">
        <v>774</v>
      </c>
      <c r="D106" s="339">
        <f t="shared" si="24"/>
        <v>0.3225</v>
      </c>
      <c r="E106" s="339"/>
      <c r="F106" s="339">
        <v>0</v>
      </c>
      <c r="G106" s="339"/>
      <c r="H106" s="339"/>
      <c r="I106" s="339">
        <v>0.3225</v>
      </c>
      <c r="J106" s="339"/>
      <c r="K106" s="339"/>
    </row>
    <row r="107" spans="1:11" s="316" customFormat="1" ht="26.25" customHeight="1">
      <c r="A107" s="474" t="s">
        <v>655</v>
      </c>
      <c r="B107" s="476" t="s">
        <v>459</v>
      </c>
      <c r="C107" s="337" t="s">
        <v>805</v>
      </c>
      <c r="D107" s="339">
        <f t="shared" si="24"/>
        <v>2.6875000000000004</v>
      </c>
      <c r="E107" s="340">
        <f aca="true" t="shared" si="26" ref="E107:K107">SUM(E108:E112)</f>
        <v>0</v>
      </c>
      <c r="F107" s="340">
        <f t="shared" si="26"/>
        <v>0</v>
      </c>
      <c r="G107" s="340">
        <f t="shared" si="26"/>
        <v>0</v>
      </c>
      <c r="H107" s="340">
        <f t="shared" si="26"/>
        <v>1.6125000000000003</v>
      </c>
      <c r="I107" s="340">
        <f t="shared" si="26"/>
        <v>0</v>
      </c>
      <c r="J107" s="340">
        <f t="shared" si="26"/>
        <v>0</v>
      </c>
      <c r="K107" s="340">
        <f t="shared" si="26"/>
        <v>1.0750000000000002</v>
      </c>
    </row>
    <row r="108" spans="1:11" s="316" customFormat="1" ht="12.75" customHeight="1">
      <c r="A108" s="475"/>
      <c r="B108" s="477"/>
      <c r="C108" s="338" t="s">
        <v>770</v>
      </c>
      <c r="D108" s="339">
        <f t="shared" si="24"/>
        <v>0.80625</v>
      </c>
      <c r="E108" s="339"/>
      <c r="F108" s="339"/>
      <c r="G108" s="339"/>
      <c r="H108" s="339">
        <v>0.48375</v>
      </c>
      <c r="I108" s="339"/>
      <c r="J108" s="339"/>
      <c r="K108" s="339">
        <v>0.3225</v>
      </c>
    </row>
    <row r="109" spans="1:11" s="316" customFormat="1" ht="12.75" customHeight="1">
      <c r="A109" s="475"/>
      <c r="B109" s="477"/>
      <c r="C109" s="338" t="s">
        <v>771</v>
      </c>
      <c r="D109" s="339">
        <f t="shared" si="24"/>
        <v>0.80625</v>
      </c>
      <c r="E109" s="339"/>
      <c r="F109" s="339"/>
      <c r="G109" s="339"/>
      <c r="H109" s="339">
        <v>0.48375</v>
      </c>
      <c r="I109" s="339"/>
      <c r="J109" s="339"/>
      <c r="K109" s="339">
        <v>0.3225</v>
      </c>
    </row>
    <row r="110" spans="1:11" s="316" customFormat="1" ht="12.75" customHeight="1">
      <c r="A110" s="475"/>
      <c r="B110" s="477"/>
      <c r="C110" s="338" t="s">
        <v>772</v>
      </c>
      <c r="D110" s="339">
        <f t="shared" si="24"/>
        <v>0.26875</v>
      </c>
      <c r="E110" s="339"/>
      <c r="F110" s="339"/>
      <c r="G110" s="339"/>
      <c r="H110" s="339">
        <v>0.16125</v>
      </c>
      <c r="I110" s="339"/>
      <c r="J110" s="339"/>
      <c r="K110" s="339">
        <v>0.1075</v>
      </c>
    </row>
    <row r="111" spans="1:11" s="316" customFormat="1" ht="12.75" customHeight="1">
      <c r="A111" s="475"/>
      <c r="B111" s="477"/>
      <c r="C111" s="338" t="s">
        <v>773</v>
      </c>
      <c r="D111" s="339">
        <f t="shared" si="24"/>
        <v>0</v>
      </c>
      <c r="E111" s="339"/>
      <c r="F111" s="339"/>
      <c r="G111" s="339"/>
      <c r="H111" s="339">
        <v>0</v>
      </c>
      <c r="I111" s="339"/>
      <c r="J111" s="339"/>
      <c r="K111" s="339">
        <v>0</v>
      </c>
    </row>
    <row r="112" spans="1:11" s="316" customFormat="1" ht="12.75" customHeight="1">
      <c r="A112" s="475"/>
      <c r="B112" s="477"/>
      <c r="C112" s="338" t="s">
        <v>774</v>
      </c>
      <c r="D112" s="339">
        <f t="shared" si="24"/>
        <v>0.80625</v>
      </c>
      <c r="E112" s="339"/>
      <c r="F112" s="339"/>
      <c r="G112" s="339"/>
      <c r="H112" s="339">
        <v>0.48375</v>
      </c>
      <c r="I112" s="339"/>
      <c r="J112" s="339"/>
      <c r="K112" s="339">
        <v>0.3225</v>
      </c>
    </row>
    <row r="113" spans="1:11" s="316" customFormat="1" ht="26.25" customHeight="1">
      <c r="A113" s="474" t="s">
        <v>662</v>
      </c>
      <c r="B113" s="476" t="s">
        <v>461</v>
      </c>
      <c r="C113" s="337" t="s">
        <v>805</v>
      </c>
      <c r="D113" s="339">
        <f t="shared" si="24"/>
        <v>5.098000000000001</v>
      </c>
      <c r="E113" s="340">
        <f aca="true" t="shared" si="27" ref="E113:K113">SUM(E114:E118)</f>
        <v>0.798</v>
      </c>
      <c r="F113" s="340">
        <f t="shared" si="27"/>
        <v>0</v>
      </c>
      <c r="G113" s="340">
        <f t="shared" si="27"/>
        <v>2.1500000000000004</v>
      </c>
      <c r="H113" s="340">
        <f t="shared" si="27"/>
        <v>0</v>
      </c>
      <c r="I113" s="340">
        <f t="shared" si="27"/>
        <v>1.0750000000000002</v>
      </c>
      <c r="J113" s="340">
        <f t="shared" si="27"/>
        <v>0</v>
      </c>
      <c r="K113" s="340">
        <f t="shared" si="27"/>
        <v>1.0750000000000002</v>
      </c>
    </row>
    <row r="114" spans="1:11" s="316" customFormat="1" ht="12.75" customHeight="1">
      <c r="A114" s="475"/>
      <c r="B114" s="477"/>
      <c r="C114" s="338" t="s">
        <v>770</v>
      </c>
      <c r="D114" s="339">
        <f t="shared" si="24"/>
        <v>1.5294</v>
      </c>
      <c r="E114" s="339">
        <f>'[2]Прил.7 Список жилье'!$H$21/1000</f>
        <v>0.2394</v>
      </c>
      <c r="F114" s="339"/>
      <c r="G114" s="339">
        <v>0.645</v>
      </c>
      <c r="H114" s="339"/>
      <c r="I114" s="339">
        <v>0.3225</v>
      </c>
      <c r="J114" s="339"/>
      <c r="K114" s="339">
        <v>0.3225</v>
      </c>
    </row>
    <row r="115" spans="1:11" s="316" customFormat="1" ht="12.75" customHeight="1">
      <c r="A115" s="475"/>
      <c r="B115" s="477"/>
      <c r="C115" s="338" t="s">
        <v>771</v>
      </c>
      <c r="D115" s="339">
        <f t="shared" si="24"/>
        <v>1.442418</v>
      </c>
      <c r="E115" s="339">
        <f>'[2]Прил.7 Список жилье'!$I$21/1000</f>
        <v>0.152418</v>
      </c>
      <c r="F115" s="339"/>
      <c r="G115" s="339">
        <v>0.645</v>
      </c>
      <c r="H115" s="339"/>
      <c r="I115" s="339">
        <v>0.3225</v>
      </c>
      <c r="J115" s="339"/>
      <c r="K115" s="339">
        <v>0.3225</v>
      </c>
    </row>
    <row r="116" spans="1:11" s="316" customFormat="1" ht="12.75" customHeight="1">
      <c r="A116" s="475"/>
      <c r="B116" s="477"/>
      <c r="C116" s="338" t="s">
        <v>772</v>
      </c>
      <c r="D116" s="339">
        <f t="shared" si="24"/>
        <v>0.5018199999999999</v>
      </c>
      <c r="E116" s="339">
        <f>'[2]Прил.7 Список жилье'!$J$21/1000</f>
        <v>0.07182</v>
      </c>
      <c r="F116" s="339"/>
      <c r="G116" s="339">
        <v>0.215</v>
      </c>
      <c r="H116" s="339"/>
      <c r="I116" s="339">
        <v>0.1075</v>
      </c>
      <c r="J116" s="339"/>
      <c r="K116" s="339">
        <v>0.1075</v>
      </c>
    </row>
    <row r="117" spans="1:11" s="316" customFormat="1" ht="12.75" customHeight="1">
      <c r="A117" s="475"/>
      <c r="B117" s="477"/>
      <c r="C117" s="338" t="s">
        <v>773</v>
      </c>
      <c r="D117" s="339">
        <f t="shared" si="24"/>
        <v>0</v>
      </c>
      <c r="E117" s="339"/>
      <c r="F117" s="339"/>
      <c r="G117" s="339">
        <v>0</v>
      </c>
      <c r="H117" s="339"/>
      <c r="I117" s="339">
        <v>0</v>
      </c>
      <c r="J117" s="339"/>
      <c r="K117" s="339">
        <v>0</v>
      </c>
    </row>
    <row r="118" spans="1:11" s="316" customFormat="1" ht="12.75" customHeight="1">
      <c r="A118" s="475"/>
      <c r="B118" s="477"/>
      <c r="C118" s="338" t="s">
        <v>774</v>
      </c>
      <c r="D118" s="339">
        <f t="shared" si="24"/>
        <v>1.624362</v>
      </c>
      <c r="E118" s="339">
        <f>'[2]Прил.7 Список жилье'!$K$21/1000</f>
        <v>0.33436200000000005</v>
      </c>
      <c r="F118" s="339"/>
      <c r="G118" s="339">
        <v>0.645</v>
      </c>
      <c r="H118" s="339"/>
      <c r="I118" s="339">
        <v>0.3225</v>
      </c>
      <c r="J118" s="339"/>
      <c r="K118" s="339">
        <v>0.3225</v>
      </c>
    </row>
    <row r="119" spans="1:11" s="316" customFormat="1" ht="26.25" customHeight="1">
      <c r="A119" s="474" t="s">
        <v>666</v>
      </c>
      <c r="B119" s="476" t="s">
        <v>462</v>
      </c>
      <c r="C119" s="337" t="s">
        <v>805</v>
      </c>
      <c r="D119" s="339">
        <f t="shared" si="24"/>
        <v>5.375000000000001</v>
      </c>
      <c r="E119" s="340">
        <f aca="true" t="shared" si="28" ref="E119:K119">SUM(E120:E124)</f>
        <v>0</v>
      </c>
      <c r="F119" s="340">
        <f t="shared" si="28"/>
        <v>2.1500000000000004</v>
      </c>
      <c r="G119" s="340">
        <f t="shared" si="28"/>
        <v>0</v>
      </c>
      <c r="H119" s="340">
        <f t="shared" si="28"/>
        <v>0</v>
      </c>
      <c r="I119" s="340">
        <f t="shared" si="28"/>
        <v>0</v>
      </c>
      <c r="J119" s="340">
        <f t="shared" si="28"/>
        <v>3.2250000000000005</v>
      </c>
      <c r="K119" s="340">
        <f t="shared" si="28"/>
        <v>0</v>
      </c>
    </row>
    <row r="120" spans="1:11" s="316" customFormat="1" ht="12.75" customHeight="1">
      <c r="A120" s="475"/>
      <c r="B120" s="477"/>
      <c r="C120" s="338" t="s">
        <v>770</v>
      </c>
      <c r="D120" s="339">
        <f t="shared" si="24"/>
        <v>1.6125</v>
      </c>
      <c r="E120" s="339"/>
      <c r="F120" s="339">
        <v>0.645</v>
      </c>
      <c r="G120" s="339"/>
      <c r="H120" s="339"/>
      <c r="I120" s="339"/>
      <c r="J120" s="339">
        <v>0.9675</v>
      </c>
      <c r="K120" s="339"/>
    </row>
    <row r="121" spans="1:11" s="316" customFormat="1" ht="12.75" customHeight="1">
      <c r="A121" s="475"/>
      <c r="B121" s="477"/>
      <c r="C121" s="338" t="s">
        <v>771</v>
      </c>
      <c r="D121" s="339">
        <f t="shared" si="24"/>
        <v>1.6125</v>
      </c>
      <c r="E121" s="339"/>
      <c r="F121" s="339">
        <v>0.645</v>
      </c>
      <c r="G121" s="339"/>
      <c r="H121" s="339"/>
      <c r="I121" s="339"/>
      <c r="J121" s="339">
        <v>0.9675</v>
      </c>
      <c r="K121" s="339"/>
    </row>
    <row r="122" spans="1:11" s="316" customFormat="1" ht="12.75" customHeight="1">
      <c r="A122" s="475"/>
      <c r="B122" s="477"/>
      <c r="C122" s="338" t="s">
        <v>772</v>
      </c>
      <c r="D122" s="339">
        <f t="shared" si="24"/>
        <v>0.5375</v>
      </c>
      <c r="E122" s="339"/>
      <c r="F122" s="339">
        <v>0.215</v>
      </c>
      <c r="G122" s="339"/>
      <c r="H122" s="339"/>
      <c r="I122" s="339"/>
      <c r="J122" s="339">
        <v>0.3225</v>
      </c>
      <c r="K122" s="339"/>
    </row>
    <row r="123" spans="1:11" s="316" customFormat="1" ht="12.75" customHeight="1">
      <c r="A123" s="475"/>
      <c r="B123" s="477"/>
      <c r="C123" s="338" t="s">
        <v>773</v>
      </c>
      <c r="D123" s="339">
        <f t="shared" si="24"/>
        <v>0</v>
      </c>
      <c r="E123" s="339"/>
      <c r="F123" s="339">
        <v>0</v>
      </c>
      <c r="G123" s="339"/>
      <c r="H123" s="339"/>
      <c r="I123" s="339"/>
      <c r="J123" s="339">
        <v>0</v>
      </c>
      <c r="K123" s="339"/>
    </row>
    <row r="124" spans="1:11" s="316" customFormat="1" ht="12.75" customHeight="1">
      <c r="A124" s="475"/>
      <c r="B124" s="477"/>
      <c r="C124" s="338" t="s">
        <v>774</v>
      </c>
      <c r="D124" s="339">
        <f t="shared" si="24"/>
        <v>1.6125</v>
      </c>
      <c r="E124" s="339"/>
      <c r="F124" s="339">
        <v>0.645</v>
      </c>
      <c r="G124" s="339"/>
      <c r="H124" s="339"/>
      <c r="I124" s="339"/>
      <c r="J124" s="339">
        <v>0.9675</v>
      </c>
      <c r="K124" s="339"/>
    </row>
    <row r="125" spans="1:11" s="316" customFormat="1" ht="26.25" customHeight="1">
      <c r="A125" s="474" t="s">
        <v>670</v>
      </c>
      <c r="B125" s="476" t="s">
        <v>463</v>
      </c>
      <c r="C125" s="337" t="s">
        <v>805</v>
      </c>
      <c r="D125" s="339">
        <f aca="true" t="shared" si="29" ref="D125:D142">SUM(E125:K125)</f>
        <v>1.0750000000000002</v>
      </c>
      <c r="E125" s="340">
        <f aca="true" t="shared" si="30" ref="E125:K125">SUM(E126:E130)</f>
        <v>0</v>
      </c>
      <c r="F125" s="340">
        <f t="shared" si="30"/>
        <v>0</v>
      </c>
      <c r="G125" s="340">
        <f t="shared" si="30"/>
        <v>1.0750000000000002</v>
      </c>
      <c r="H125" s="340">
        <f t="shared" si="30"/>
        <v>0</v>
      </c>
      <c r="I125" s="340">
        <f t="shared" si="30"/>
        <v>0</v>
      </c>
      <c r="J125" s="340">
        <f t="shared" si="30"/>
        <v>0</v>
      </c>
      <c r="K125" s="340">
        <f t="shared" si="30"/>
        <v>0</v>
      </c>
    </row>
    <row r="126" spans="1:11" s="316" customFormat="1" ht="12.75" customHeight="1">
      <c r="A126" s="475"/>
      <c r="B126" s="477"/>
      <c r="C126" s="338" t="s">
        <v>770</v>
      </c>
      <c r="D126" s="339">
        <f t="shared" si="29"/>
        <v>0.3225</v>
      </c>
      <c r="E126" s="339"/>
      <c r="F126" s="339"/>
      <c r="G126" s="339">
        <v>0.3225</v>
      </c>
      <c r="H126" s="339"/>
      <c r="I126" s="339"/>
      <c r="J126" s="339"/>
      <c r="K126" s="339"/>
    </row>
    <row r="127" spans="1:11" s="316" customFormat="1" ht="12.75" customHeight="1">
      <c r="A127" s="475"/>
      <c r="B127" s="477"/>
      <c r="C127" s="338" t="s">
        <v>771</v>
      </c>
      <c r="D127" s="339">
        <f t="shared" si="29"/>
        <v>0.3225</v>
      </c>
      <c r="E127" s="339"/>
      <c r="F127" s="339"/>
      <c r="G127" s="339">
        <v>0.3225</v>
      </c>
      <c r="H127" s="339"/>
      <c r="I127" s="339"/>
      <c r="J127" s="339"/>
      <c r="K127" s="339"/>
    </row>
    <row r="128" spans="1:11" s="316" customFormat="1" ht="12.75" customHeight="1">
      <c r="A128" s="475"/>
      <c r="B128" s="477"/>
      <c r="C128" s="338" t="s">
        <v>772</v>
      </c>
      <c r="D128" s="339">
        <f t="shared" si="29"/>
        <v>0.1075</v>
      </c>
      <c r="E128" s="339"/>
      <c r="F128" s="339"/>
      <c r="G128" s="339">
        <v>0.1075</v>
      </c>
      <c r="H128" s="339"/>
      <c r="I128" s="339"/>
      <c r="J128" s="339"/>
      <c r="K128" s="339"/>
    </row>
    <row r="129" spans="1:11" s="316" customFormat="1" ht="12.75" customHeight="1">
      <c r="A129" s="475"/>
      <c r="B129" s="477"/>
      <c r="C129" s="338" t="s">
        <v>773</v>
      </c>
      <c r="D129" s="339">
        <f t="shared" si="29"/>
        <v>0</v>
      </c>
      <c r="E129" s="339"/>
      <c r="F129" s="339"/>
      <c r="G129" s="339">
        <v>0</v>
      </c>
      <c r="H129" s="339"/>
      <c r="I129" s="339"/>
      <c r="J129" s="339"/>
      <c r="K129" s="339"/>
    </row>
    <row r="130" spans="1:11" s="316" customFormat="1" ht="12.75" customHeight="1">
      <c r="A130" s="475"/>
      <c r="B130" s="477"/>
      <c r="C130" s="338" t="s">
        <v>774</v>
      </c>
      <c r="D130" s="339">
        <f t="shared" si="29"/>
        <v>0.3225</v>
      </c>
      <c r="E130" s="339"/>
      <c r="F130" s="339"/>
      <c r="G130" s="339">
        <v>0.3225</v>
      </c>
      <c r="H130" s="339"/>
      <c r="I130" s="339"/>
      <c r="J130" s="339"/>
      <c r="K130" s="339"/>
    </row>
    <row r="131" spans="1:11" s="316" customFormat="1" ht="26.25" customHeight="1">
      <c r="A131" s="474" t="s">
        <v>674</v>
      </c>
      <c r="B131" s="476" t="s">
        <v>465</v>
      </c>
      <c r="C131" s="337" t="s">
        <v>805</v>
      </c>
      <c r="D131" s="339">
        <f t="shared" si="29"/>
        <v>1.0750000000000002</v>
      </c>
      <c r="E131" s="340">
        <f aca="true" t="shared" si="31" ref="E131:K131">SUM(E132:E136)</f>
        <v>0</v>
      </c>
      <c r="F131" s="340">
        <f t="shared" si="31"/>
        <v>1.0750000000000002</v>
      </c>
      <c r="G131" s="340">
        <f t="shared" si="31"/>
        <v>0</v>
      </c>
      <c r="H131" s="340">
        <f t="shared" si="31"/>
        <v>0</v>
      </c>
      <c r="I131" s="340">
        <f t="shared" si="31"/>
        <v>0</v>
      </c>
      <c r="J131" s="340">
        <f t="shared" si="31"/>
        <v>0</v>
      </c>
      <c r="K131" s="340">
        <f t="shared" si="31"/>
        <v>0</v>
      </c>
    </row>
    <row r="132" spans="1:11" s="316" customFormat="1" ht="12.75" customHeight="1">
      <c r="A132" s="475"/>
      <c r="B132" s="477"/>
      <c r="C132" s="338" t="s">
        <v>770</v>
      </c>
      <c r="D132" s="339">
        <f t="shared" si="29"/>
        <v>0.3225</v>
      </c>
      <c r="E132" s="339"/>
      <c r="F132" s="339">
        <v>0.3225</v>
      </c>
      <c r="G132" s="339"/>
      <c r="H132" s="339"/>
      <c r="I132" s="339"/>
      <c r="J132" s="339"/>
      <c r="K132" s="339"/>
    </row>
    <row r="133" spans="1:11" s="316" customFormat="1" ht="12.75" customHeight="1">
      <c r="A133" s="475"/>
      <c r="B133" s="477"/>
      <c r="C133" s="338" t="s">
        <v>771</v>
      </c>
      <c r="D133" s="339">
        <f t="shared" si="29"/>
        <v>0.3225</v>
      </c>
      <c r="E133" s="339"/>
      <c r="F133" s="339">
        <v>0.3225</v>
      </c>
      <c r="G133" s="339"/>
      <c r="H133" s="339"/>
      <c r="I133" s="339"/>
      <c r="J133" s="339"/>
      <c r="K133" s="339"/>
    </row>
    <row r="134" spans="1:11" s="316" customFormat="1" ht="12.75" customHeight="1">
      <c r="A134" s="475"/>
      <c r="B134" s="477"/>
      <c r="C134" s="338" t="s">
        <v>772</v>
      </c>
      <c r="D134" s="339">
        <f t="shared" si="29"/>
        <v>0.1075</v>
      </c>
      <c r="E134" s="339"/>
      <c r="F134" s="339">
        <v>0.1075</v>
      </c>
      <c r="G134" s="339"/>
      <c r="H134" s="339"/>
      <c r="I134" s="339"/>
      <c r="J134" s="339"/>
      <c r="K134" s="339"/>
    </row>
    <row r="135" spans="1:11" s="316" customFormat="1" ht="12.75" customHeight="1">
      <c r="A135" s="475"/>
      <c r="B135" s="477"/>
      <c r="C135" s="338" t="s">
        <v>773</v>
      </c>
      <c r="D135" s="339">
        <f t="shared" si="29"/>
        <v>0</v>
      </c>
      <c r="E135" s="339"/>
      <c r="F135" s="339">
        <v>0</v>
      </c>
      <c r="G135" s="339"/>
      <c r="H135" s="339"/>
      <c r="I135" s="339"/>
      <c r="J135" s="339"/>
      <c r="K135" s="339"/>
    </row>
    <row r="136" spans="1:11" s="316" customFormat="1" ht="12.75" customHeight="1">
      <c r="A136" s="475"/>
      <c r="B136" s="477"/>
      <c r="C136" s="338" t="s">
        <v>774</v>
      </c>
      <c r="D136" s="339">
        <f t="shared" si="29"/>
        <v>0.3225</v>
      </c>
      <c r="E136" s="339"/>
      <c r="F136" s="339">
        <v>0.3225</v>
      </c>
      <c r="G136" s="339"/>
      <c r="H136" s="339"/>
      <c r="I136" s="339"/>
      <c r="J136" s="339"/>
      <c r="K136" s="339"/>
    </row>
    <row r="137" spans="1:11" s="316" customFormat="1" ht="26.25" customHeight="1">
      <c r="A137" s="474" t="s">
        <v>715</v>
      </c>
      <c r="B137" s="476" t="s">
        <v>466</v>
      </c>
      <c r="C137" s="337" t="s">
        <v>805</v>
      </c>
      <c r="D137" s="339">
        <f t="shared" si="29"/>
        <v>2.1500000000000004</v>
      </c>
      <c r="E137" s="340">
        <f aca="true" t="shared" si="32" ref="E137:K137">SUM(E138:E142)</f>
        <v>0</v>
      </c>
      <c r="F137" s="340">
        <f t="shared" si="32"/>
        <v>0</v>
      </c>
      <c r="G137" s="340">
        <f t="shared" si="32"/>
        <v>0</v>
      </c>
      <c r="H137" s="340">
        <f t="shared" si="32"/>
        <v>0</v>
      </c>
      <c r="I137" s="340">
        <f t="shared" si="32"/>
        <v>1.0750000000000002</v>
      </c>
      <c r="J137" s="340">
        <f t="shared" si="32"/>
        <v>0</v>
      </c>
      <c r="K137" s="340">
        <f t="shared" si="32"/>
        <v>1.0750000000000002</v>
      </c>
    </row>
    <row r="138" spans="1:11" s="316" customFormat="1" ht="12.75" customHeight="1">
      <c r="A138" s="475"/>
      <c r="B138" s="477"/>
      <c r="C138" s="338" t="s">
        <v>770</v>
      </c>
      <c r="D138" s="339">
        <f t="shared" si="29"/>
        <v>0.645</v>
      </c>
      <c r="E138" s="339"/>
      <c r="F138" s="339"/>
      <c r="G138" s="339"/>
      <c r="H138" s="339"/>
      <c r="I138" s="339">
        <v>0.3225</v>
      </c>
      <c r="J138" s="339"/>
      <c r="K138" s="339">
        <v>0.3225</v>
      </c>
    </row>
    <row r="139" spans="1:11" s="316" customFormat="1" ht="12.75" customHeight="1">
      <c r="A139" s="475"/>
      <c r="B139" s="477"/>
      <c r="C139" s="338" t="s">
        <v>771</v>
      </c>
      <c r="D139" s="339">
        <f t="shared" si="29"/>
        <v>0.645</v>
      </c>
      <c r="E139" s="339"/>
      <c r="F139" s="339"/>
      <c r="G139" s="339"/>
      <c r="H139" s="339"/>
      <c r="I139" s="339">
        <v>0.3225</v>
      </c>
      <c r="J139" s="339"/>
      <c r="K139" s="339">
        <v>0.3225</v>
      </c>
    </row>
    <row r="140" spans="1:11" s="316" customFormat="1" ht="12.75" customHeight="1">
      <c r="A140" s="475"/>
      <c r="B140" s="477"/>
      <c r="C140" s="338" t="s">
        <v>772</v>
      </c>
      <c r="D140" s="339">
        <f t="shared" si="29"/>
        <v>0.215</v>
      </c>
      <c r="E140" s="339"/>
      <c r="F140" s="339"/>
      <c r="G140" s="339"/>
      <c r="H140" s="339"/>
      <c r="I140" s="339">
        <v>0.1075</v>
      </c>
      <c r="J140" s="339"/>
      <c r="K140" s="339">
        <v>0.1075</v>
      </c>
    </row>
    <row r="141" spans="1:11" s="316" customFormat="1" ht="12.75" customHeight="1">
      <c r="A141" s="475"/>
      <c r="B141" s="477"/>
      <c r="C141" s="338" t="s">
        <v>773</v>
      </c>
      <c r="D141" s="339">
        <f>SUM(E141:K141)</f>
        <v>0</v>
      </c>
      <c r="E141" s="339"/>
      <c r="F141" s="339"/>
      <c r="G141" s="339"/>
      <c r="H141" s="339"/>
      <c r="I141" s="339">
        <v>0</v>
      </c>
      <c r="J141" s="339"/>
      <c r="K141" s="339">
        <v>0</v>
      </c>
    </row>
    <row r="142" spans="1:11" s="316" customFormat="1" ht="12.75" customHeight="1">
      <c r="A142" s="475"/>
      <c r="B142" s="477"/>
      <c r="C142" s="338" t="s">
        <v>774</v>
      </c>
      <c r="D142" s="339">
        <f t="shared" si="29"/>
        <v>0.645</v>
      </c>
      <c r="E142" s="339"/>
      <c r="F142" s="339"/>
      <c r="G142" s="339"/>
      <c r="H142" s="339"/>
      <c r="I142" s="339">
        <v>0.3225</v>
      </c>
      <c r="J142" s="339"/>
      <c r="K142" s="339">
        <v>0.3225</v>
      </c>
    </row>
    <row r="143" spans="1:11" s="316" customFormat="1" ht="12.75" customHeight="1">
      <c r="A143" s="474" t="s">
        <v>999</v>
      </c>
      <c r="B143" s="476" t="s">
        <v>467</v>
      </c>
      <c r="C143" s="337" t="s">
        <v>805</v>
      </c>
      <c r="D143" s="339">
        <f aca="true" t="shared" si="33" ref="D143:D148">SUM(E143:K143)</f>
        <v>1.026</v>
      </c>
      <c r="E143" s="340">
        <f aca="true" t="shared" si="34" ref="E143:K143">SUM(E144:E148)</f>
        <v>1.026</v>
      </c>
      <c r="F143" s="340">
        <f t="shared" si="34"/>
        <v>0</v>
      </c>
      <c r="G143" s="340">
        <f t="shared" si="34"/>
        <v>0</v>
      </c>
      <c r="H143" s="340">
        <f t="shared" si="34"/>
        <v>0</v>
      </c>
      <c r="I143" s="340">
        <f>SUM(I144:I148)</f>
        <v>0</v>
      </c>
      <c r="J143" s="340">
        <f t="shared" si="34"/>
        <v>0</v>
      </c>
      <c r="K143" s="340">
        <f t="shared" si="34"/>
        <v>0</v>
      </c>
    </row>
    <row r="144" spans="1:11" s="316" customFormat="1" ht="12.75" customHeight="1">
      <c r="A144" s="475"/>
      <c r="B144" s="477"/>
      <c r="C144" s="338" t="s">
        <v>770</v>
      </c>
      <c r="D144" s="339">
        <f t="shared" si="33"/>
        <v>0.3078</v>
      </c>
      <c r="E144" s="339">
        <f>'[2]Прил.7 Список жилье'!$H$49/1000</f>
        <v>0.3078</v>
      </c>
      <c r="F144" s="339"/>
      <c r="G144" s="339"/>
      <c r="H144" s="339"/>
      <c r="I144" s="339" t="s">
        <v>3</v>
      </c>
      <c r="J144" s="339"/>
      <c r="K144" s="339" t="s">
        <v>3</v>
      </c>
    </row>
    <row r="145" spans="1:11" s="316" customFormat="1" ht="12.75" customHeight="1">
      <c r="A145" s="475"/>
      <c r="B145" s="477"/>
      <c r="C145" s="338" t="s">
        <v>771</v>
      </c>
      <c r="D145" s="339">
        <f t="shared" si="33"/>
        <v>0.195966</v>
      </c>
      <c r="E145" s="339">
        <f>'[2]Прил.7 Список жилье'!$I$49/1000</f>
        <v>0.195966</v>
      </c>
      <c r="F145" s="339"/>
      <c r="G145" s="339"/>
      <c r="H145" s="339"/>
      <c r="I145" s="339" t="s">
        <v>3</v>
      </c>
      <c r="J145" s="339"/>
      <c r="K145" s="339" t="s">
        <v>3</v>
      </c>
    </row>
    <row r="146" spans="1:11" s="316" customFormat="1" ht="12.75" customHeight="1">
      <c r="A146" s="475"/>
      <c r="B146" s="477"/>
      <c r="C146" s="338" t="s">
        <v>772</v>
      </c>
      <c r="D146" s="339">
        <f t="shared" si="33"/>
        <v>0.09234</v>
      </c>
      <c r="E146" s="339">
        <f>'[2]Прил.7 Список жилье'!$J$49/1000</f>
        <v>0.09234</v>
      </c>
      <c r="F146" s="339"/>
      <c r="G146" s="339"/>
      <c r="H146" s="339"/>
      <c r="I146" s="339" t="s">
        <v>3</v>
      </c>
      <c r="J146" s="339"/>
      <c r="K146" s="339" t="s">
        <v>3</v>
      </c>
    </row>
    <row r="147" spans="1:11" s="316" customFormat="1" ht="12.75" customHeight="1">
      <c r="A147" s="475"/>
      <c r="B147" s="477"/>
      <c r="C147" s="338" t="s">
        <v>773</v>
      </c>
      <c r="D147" s="339">
        <f t="shared" si="33"/>
        <v>0</v>
      </c>
      <c r="E147" s="339"/>
      <c r="F147" s="339"/>
      <c r="G147" s="339"/>
      <c r="H147" s="339"/>
      <c r="I147" s="339" t="s">
        <v>3</v>
      </c>
      <c r="J147" s="339"/>
      <c r="K147" s="339" t="s">
        <v>3</v>
      </c>
    </row>
    <row r="148" spans="1:11" s="316" customFormat="1" ht="12.75" customHeight="1">
      <c r="A148" s="475"/>
      <c r="B148" s="477"/>
      <c r="C148" s="338" t="s">
        <v>774</v>
      </c>
      <c r="D148" s="339">
        <f t="shared" si="33"/>
        <v>0.429894</v>
      </c>
      <c r="E148" s="339">
        <f>'[2]Прил.7 Список жилье'!$K$49/1000</f>
        <v>0.429894</v>
      </c>
      <c r="F148" s="339"/>
      <c r="G148" s="339"/>
      <c r="H148" s="339"/>
      <c r="I148" s="339" t="s">
        <v>3</v>
      </c>
      <c r="J148" s="339"/>
      <c r="K148" s="339" t="s">
        <v>3</v>
      </c>
    </row>
    <row r="149" spans="1:11" s="344" customFormat="1" ht="26.25" customHeight="1">
      <c r="A149" s="478">
        <v>3</v>
      </c>
      <c r="B149" s="484" t="s">
        <v>806</v>
      </c>
      <c r="C149" s="333" t="s">
        <v>805</v>
      </c>
      <c r="D149" s="343">
        <v>0</v>
      </c>
      <c r="E149" s="343">
        <v>0</v>
      </c>
      <c r="F149" s="343">
        <v>0</v>
      </c>
      <c r="G149" s="343">
        <v>0</v>
      </c>
      <c r="H149" s="343">
        <v>0</v>
      </c>
      <c r="I149" s="343">
        <v>0</v>
      </c>
      <c r="J149" s="343">
        <v>0</v>
      </c>
      <c r="K149" s="343">
        <v>0</v>
      </c>
    </row>
    <row r="150" spans="1:11" s="344" customFormat="1" ht="12.75" customHeight="1">
      <c r="A150" s="478"/>
      <c r="B150" s="485"/>
      <c r="C150" s="335" t="s">
        <v>770</v>
      </c>
      <c r="D150" s="343">
        <v>0</v>
      </c>
      <c r="E150" s="343">
        <v>0</v>
      </c>
      <c r="F150" s="343">
        <v>0</v>
      </c>
      <c r="G150" s="343">
        <v>0</v>
      </c>
      <c r="H150" s="343">
        <v>0</v>
      </c>
      <c r="I150" s="343">
        <v>0</v>
      </c>
      <c r="J150" s="343">
        <v>0</v>
      </c>
      <c r="K150" s="343">
        <v>0</v>
      </c>
    </row>
    <row r="151" spans="1:11" s="344" customFormat="1" ht="12.75" customHeight="1">
      <c r="A151" s="478"/>
      <c r="B151" s="485"/>
      <c r="C151" s="335" t="s">
        <v>771</v>
      </c>
      <c r="D151" s="343">
        <v>0</v>
      </c>
      <c r="E151" s="343">
        <v>0</v>
      </c>
      <c r="F151" s="343">
        <v>0</v>
      </c>
      <c r="G151" s="343">
        <v>0</v>
      </c>
      <c r="H151" s="343">
        <v>0</v>
      </c>
      <c r="I151" s="343">
        <v>0</v>
      </c>
      <c r="J151" s="343">
        <v>0</v>
      </c>
      <c r="K151" s="343">
        <v>0</v>
      </c>
    </row>
    <row r="152" spans="1:11" s="344" customFormat="1" ht="12.75" customHeight="1">
      <c r="A152" s="478"/>
      <c r="B152" s="485"/>
      <c r="C152" s="335" t="s">
        <v>772</v>
      </c>
      <c r="D152" s="343">
        <v>0</v>
      </c>
      <c r="E152" s="343">
        <v>0</v>
      </c>
      <c r="F152" s="343">
        <v>0</v>
      </c>
      <c r="G152" s="343">
        <v>0</v>
      </c>
      <c r="H152" s="343">
        <v>0</v>
      </c>
      <c r="I152" s="343">
        <v>0</v>
      </c>
      <c r="J152" s="343">
        <v>0</v>
      </c>
      <c r="K152" s="343">
        <v>0</v>
      </c>
    </row>
    <row r="153" spans="1:11" s="344" customFormat="1" ht="12.75" customHeight="1">
      <c r="A153" s="478"/>
      <c r="B153" s="485"/>
      <c r="C153" s="335" t="s">
        <v>773</v>
      </c>
      <c r="D153" s="343">
        <v>0</v>
      </c>
      <c r="E153" s="343">
        <v>0</v>
      </c>
      <c r="F153" s="343">
        <v>0</v>
      </c>
      <c r="G153" s="343">
        <v>0</v>
      </c>
      <c r="H153" s="343">
        <v>0</v>
      </c>
      <c r="I153" s="343">
        <v>0</v>
      </c>
      <c r="J153" s="343">
        <v>0</v>
      </c>
      <c r="K153" s="343">
        <v>0</v>
      </c>
    </row>
    <row r="154" spans="1:11" s="344" customFormat="1" ht="12.75" customHeight="1">
      <c r="A154" s="478"/>
      <c r="B154" s="486"/>
      <c r="C154" s="335" t="s">
        <v>774</v>
      </c>
      <c r="D154" s="343">
        <v>0</v>
      </c>
      <c r="E154" s="343">
        <v>0</v>
      </c>
      <c r="F154" s="343">
        <v>0</v>
      </c>
      <c r="G154" s="343">
        <v>0</v>
      </c>
      <c r="H154" s="343">
        <v>0</v>
      </c>
      <c r="I154" s="343">
        <v>0</v>
      </c>
      <c r="J154" s="343">
        <v>0</v>
      </c>
      <c r="K154" s="343">
        <v>0</v>
      </c>
    </row>
    <row r="155" spans="1:11" s="344" customFormat="1" ht="24.75" customHeight="1">
      <c r="A155" s="478">
        <v>4</v>
      </c>
      <c r="B155" s="484" t="s">
        <v>807</v>
      </c>
      <c r="C155" s="333" t="s">
        <v>805</v>
      </c>
      <c r="D155" s="343">
        <v>0</v>
      </c>
      <c r="E155" s="343">
        <v>0</v>
      </c>
      <c r="F155" s="343">
        <v>0</v>
      </c>
      <c r="G155" s="343">
        <v>0</v>
      </c>
      <c r="H155" s="343">
        <v>0</v>
      </c>
      <c r="I155" s="343">
        <v>0</v>
      </c>
      <c r="J155" s="343">
        <v>0</v>
      </c>
      <c r="K155" s="343">
        <v>0</v>
      </c>
    </row>
    <row r="156" spans="1:11" s="344" customFormat="1" ht="12.75" customHeight="1">
      <c r="A156" s="478"/>
      <c r="B156" s="485"/>
      <c r="C156" s="335" t="s">
        <v>770</v>
      </c>
      <c r="D156" s="343">
        <v>0</v>
      </c>
      <c r="E156" s="343">
        <v>0</v>
      </c>
      <c r="F156" s="343">
        <v>0</v>
      </c>
      <c r="G156" s="343">
        <v>0</v>
      </c>
      <c r="H156" s="343">
        <v>0</v>
      </c>
      <c r="I156" s="343">
        <v>0</v>
      </c>
      <c r="J156" s="343">
        <v>0</v>
      </c>
      <c r="K156" s="343">
        <v>0</v>
      </c>
    </row>
    <row r="157" spans="1:11" s="344" customFormat="1" ht="12.75" customHeight="1">
      <c r="A157" s="478"/>
      <c r="B157" s="485"/>
      <c r="C157" s="335" t="s">
        <v>771</v>
      </c>
      <c r="D157" s="343">
        <v>0</v>
      </c>
      <c r="E157" s="343">
        <v>0</v>
      </c>
      <c r="F157" s="343">
        <v>0</v>
      </c>
      <c r="G157" s="343">
        <v>0</v>
      </c>
      <c r="H157" s="343">
        <v>0</v>
      </c>
      <c r="I157" s="343">
        <v>0</v>
      </c>
      <c r="J157" s="343">
        <v>0</v>
      </c>
      <c r="K157" s="343">
        <v>0</v>
      </c>
    </row>
    <row r="158" spans="1:11" s="344" customFormat="1" ht="12.75" customHeight="1">
      <c r="A158" s="478"/>
      <c r="B158" s="485"/>
      <c r="C158" s="335" t="s">
        <v>772</v>
      </c>
      <c r="D158" s="343">
        <v>0</v>
      </c>
      <c r="E158" s="343">
        <v>0</v>
      </c>
      <c r="F158" s="343">
        <v>0</v>
      </c>
      <c r="G158" s="343">
        <v>0</v>
      </c>
      <c r="H158" s="343">
        <v>0</v>
      </c>
      <c r="I158" s="343">
        <v>0</v>
      </c>
      <c r="J158" s="343">
        <v>0</v>
      </c>
      <c r="K158" s="343">
        <v>0</v>
      </c>
    </row>
    <row r="159" spans="1:11" s="344" customFormat="1" ht="12.75" customHeight="1">
      <c r="A159" s="478"/>
      <c r="B159" s="485"/>
      <c r="C159" s="335" t="s">
        <v>773</v>
      </c>
      <c r="D159" s="343">
        <v>0</v>
      </c>
      <c r="E159" s="343">
        <v>0</v>
      </c>
      <c r="F159" s="343">
        <v>0</v>
      </c>
      <c r="G159" s="343">
        <v>0</v>
      </c>
      <c r="H159" s="343">
        <v>0</v>
      </c>
      <c r="I159" s="343">
        <v>0</v>
      </c>
      <c r="J159" s="343">
        <v>0</v>
      </c>
      <c r="K159" s="343">
        <v>0</v>
      </c>
    </row>
    <row r="160" spans="1:11" s="344" customFormat="1" ht="12.75" customHeight="1">
      <c r="A160" s="478"/>
      <c r="B160" s="486"/>
      <c r="C160" s="335" t="s">
        <v>774</v>
      </c>
      <c r="D160" s="343">
        <v>0</v>
      </c>
      <c r="E160" s="343">
        <v>0</v>
      </c>
      <c r="F160" s="343">
        <v>0</v>
      </c>
      <c r="G160" s="343">
        <v>0</v>
      </c>
      <c r="H160" s="343">
        <v>0</v>
      </c>
      <c r="I160" s="343">
        <v>0</v>
      </c>
      <c r="J160" s="343">
        <v>0</v>
      </c>
      <c r="K160" s="343">
        <v>0</v>
      </c>
    </row>
    <row r="161" spans="1:11" ht="26.25" customHeight="1">
      <c r="A161" s="478">
        <v>5</v>
      </c>
      <c r="B161" s="484" t="s">
        <v>994</v>
      </c>
      <c r="C161" s="333" t="s">
        <v>805</v>
      </c>
      <c r="D161" s="345">
        <f aca="true" t="shared" si="35" ref="D161:D166">SUM(E161:K161)</f>
        <v>25</v>
      </c>
      <c r="E161" s="345">
        <f>E162+E163+E164+E165+E166</f>
        <v>0</v>
      </c>
      <c r="F161" s="345">
        <f aca="true" t="shared" si="36" ref="F161:K161">F162+F163+F164+F165+F166</f>
        <v>0</v>
      </c>
      <c r="G161" s="345">
        <f t="shared" si="36"/>
        <v>6</v>
      </c>
      <c r="H161" s="345">
        <f t="shared" si="36"/>
        <v>8</v>
      </c>
      <c r="I161" s="345">
        <f t="shared" si="36"/>
        <v>5</v>
      </c>
      <c r="J161" s="345">
        <f t="shared" si="36"/>
        <v>6</v>
      </c>
      <c r="K161" s="345">
        <f t="shared" si="36"/>
        <v>0</v>
      </c>
    </row>
    <row r="162" spans="1:11" ht="12.75" customHeight="1">
      <c r="A162" s="478"/>
      <c r="B162" s="485"/>
      <c r="C162" s="335" t="s">
        <v>770</v>
      </c>
      <c r="D162" s="346">
        <f t="shared" si="35"/>
        <v>7.5</v>
      </c>
      <c r="E162" s="346">
        <f aca="true" t="shared" si="37" ref="E162:K166">E169+E175+E181+E187</f>
        <v>0</v>
      </c>
      <c r="F162" s="346">
        <f t="shared" si="37"/>
        <v>0</v>
      </c>
      <c r="G162" s="346">
        <f t="shared" si="37"/>
        <v>1.8</v>
      </c>
      <c r="H162" s="346">
        <f t="shared" si="37"/>
        <v>2.4</v>
      </c>
      <c r="I162" s="346">
        <f t="shared" si="37"/>
        <v>1.5</v>
      </c>
      <c r="J162" s="346">
        <f t="shared" si="37"/>
        <v>1.8</v>
      </c>
      <c r="K162" s="346">
        <f t="shared" si="37"/>
        <v>0</v>
      </c>
    </row>
    <row r="163" spans="1:11" ht="12.75" customHeight="1">
      <c r="A163" s="478"/>
      <c r="B163" s="485"/>
      <c r="C163" s="335" t="s">
        <v>771</v>
      </c>
      <c r="D163" s="346">
        <f t="shared" si="35"/>
        <v>16.25</v>
      </c>
      <c r="E163" s="346">
        <f t="shared" si="37"/>
        <v>0</v>
      </c>
      <c r="F163" s="346">
        <f t="shared" si="37"/>
        <v>0</v>
      </c>
      <c r="G163" s="346">
        <f t="shared" si="37"/>
        <v>3.9</v>
      </c>
      <c r="H163" s="346">
        <f t="shared" si="37"/>
        <v>5.2</v>
      </c>
      <c r="I163" s="346">
        <f t="shared" si="37"/>
        <v>3.25</v>
      </c>
      <c r="J163" s="346">
        <f t="shared" si="37"/>
        <v>3.9</v>
      </c>
      <c r="K163" s="346">
        <f t="shared" si="37"/>
        <v>0</v>
      </c>
    </row>
    <row r="164" spans="1:11" ht="12.75" customHeight="1">
      <c r="A164" s="478"/>
      <c r="B164" s="485"/>
      <c r="C164" s="335" t="s">
        <v>772</v>
      </c>
      <c r="D164" s="346">
        <f t="shared" si="35"/>
        <v>1.25</v>
      </c>
      <c r="E164" s="346">
        <f t="shared" si="37"/>
        <v>0</v>
      </c>
      <c r="F164" s="346">
        <f t="shared" si="37"/>
        <v>0</v>
      </c>
      <c r="G164" s="346">
        <f t="shared" si="37"/>
        <v>0.3</v>
      </c>
      <c r="H164" s="346">
        <f t="shared" si="37"/>
        <v>0.4</v>
      </c>
      <c r="I164" s="346">
        <f t="shared" si="37"/>
        <v>0.25</v>
      </c>
      <c r="J164" s="346">
        <f t="shared" si="37"/>
        <v>0.3</v>
      </c>
      <c r="K164" s="346">
        <f t="shared" si="37"/>
        <v>0</v>
      </c>
    </row>
    <row r="165" spans="1:11" ht="12.75" customHeight="1">
      <c r="A165" s="478"/>
      <c r="B165" s="485"/>
      <c r="C165" s="335" t="s">
        <v>773</v>
      </c>
      <c r="D165" s="346">
        <f t="shared" si="35"/>
        <v>0</v>
      </c>
      <c r="E165" s="346">
        <f t="shared" si="37"/>
        <v>0</v>
      </c>
      <c r="F165" s="346">
        <f t="shared" si="37"/>
        <v>0</v>
      </c>
      <c r="G165" s="346">
        <f t="shared" si="37"/>
        <v>0</v>
      </c>
      <c r="H165" s="346">
        <f t="shared" si="37"/>
        <v>0</v>
      </c>
      <c r="I165" s="346">
        <f t="shared" si="37"/>
        <v>0</v>
      </c>
      <c r="J165" s="346">
        <f t="shared" si="37"/>
        <v>0</v>
      </c>
      <c r="K165" s="346">
        <f t="shared" si="37"/>
        <v>0</v>
      </c>
    </row>
    <row r="166" spans="1:11" ht="12.75" customHeight="1">
      <c r="A166" s="478"/>
      <c r="B166" s="485"/>
      <c r="C166" s="335" t="s">
        <v>774</v>
      </c>
      <c r="D166" s="346">
        <f t="shared" si="35"/>
        <v>0</v>
      </c>
      <c r="E166" s="346">
        <f t="shared" si="37"/>
        <v>0</v>
      </c>
      <c r="F166" s="346">
        <f t="shared" si="37"/>
        <v>0</v>
      </c>
      <c r="G166" s="346">
        <f t="shared" si="37"/>
        <v>0</v>
      </c>
      <c r="H166" s="346">
        <f t="shared" si="37"/>
        <v>0</v>
      </c>
      <c r="I166" s="346">
        <f t="shared" si="37"/>
        <v>0</v>
      </c>
      <c r="J166" s="346">
        <f t="shared" si="37"/>
        <v>0</v>
      </c>
      <c r="K166" s="346">
        <f t="shared" si="37"/>
        <v>0</v>
      </c>
    </row>
    <row r="167" spans="1:11" ht="25.5" customHeight="1">
      <c r="A167" s="333"/>
      <c r="B167" s="333" t="s">
        <v>702</v>
      </c>
      <c r="C167" s="335"/>
      <c r="D167" s="339"/>
      <c r="E167" s="339"/>
      <c r="F167" s="339"/>
      <c r="G167" s="339"/>
      <c r="H167" s="339"/>
      <c r="I167" s="339"/>
      <c r="J167" s="339"/>
      <c r="K167" s="339"/>
    </row>
    <row r="168" spans="1:11" s="316" customFormat="1" ht="26.25" customHeight="1">
      <c r="A168" s="474" t="s">
        <v>682</v>
      </c>
      <c r="B168" s="476" t="s">
        <v>722</v>
      </c>
      <c r="C168" s="337" t="s">
        <v>805</v>
      </c>
      <c r="D168" s="339">
        <f aca="true" t="shared" si="38" ref="D168:D173">SUM(E168:K168)</f>
        <v>6</v>
      </c>
      <c r="E168" s="340">
        <f aca="true" t="shared" si="39" ref="E168:K168">SUM(E169:E173)</f>
        <v>0</v>
      </c>
      <c r="F168" s="340">
        <f t="shared" si="39"/>
        <v>0</v>
      </c>
      <c r="G168" s="340">
        <f t="shared" si="39"/>
        <v>6</v>
      </c>
      <c r="H168" s="340">
        <f t="shared" si="39"/>
        <v>0</v>
      </c>
      <c r="I168" s="340">
        <f t="shared" si="39"/>
        <v>0</v>
      </c>
      <c r="J168" s="340">
        <f t="shared" si="39"/>
        <v>0</v>
      </c>
      <c r="K168" s="340">
        <f t="shared" si="39"/>
        <v>0</v>
      </c>
    </row>
    <row r="169" spans="1:11" s="316" customFormat="1" ht="12.75" customHeight="1">
      <c r="A169" s="475"/>
      <c r="B169" s="477"/>
      <c r="C169" s="338" t="s">
        <v>770</v>
      </c>
      <c r="D169" s="339">
        <f t="shared" si="38"/>
        <v>1.8</v>
      </c>
      <c r="E169" s="339"/>
      <c r="F169" s="339"/>
      <c r="G169" s="339">
        <v>1.8</v>
      </c>
      <c r="H169" s="339"/>
      <c r="I169" s="339"/>
      <c r="J169" s="339"/>
      <c r="K169" s="339"/>
    </row>
    <row r="170" spans="1:11" s="316" customFormat="1" ht="12.75" customHeight="1">
      <c r="A170" s="475"/>
      <c r="B170" s="477"/>
      <c r="C170" s="338" t="s">
        <v>771</v>
      </c>
      <c r="D170" s="339">
        <f t="shared" si="38"/>
        <v>3.9</v>
      </c>
      <c r="E170" s="339"/>
      <c r="F170" s="339"/>
      <c r="G170" s="339">
        <v>3.9</v>
      </c>
      <c r="H170" s="339"/>
      <c r="I170" s="339"/>
      <c r="J170" s="339"/>
      <c r="K170" s="339"/>
    </row>
    <row r="171" spans="1:11" s="316" customFormat="1" ht="12.75" customHeight="1">
      <c r="A171" s="475"/>
      <c r="B171" s="477"/>
      <c r="C171" s="338" t="s">
        <v>772</v>
      </c>
      <c r="D171" s="339">
        <f t="shared" si="38"/>
        <v>0.3</v>
      </c>
      <c r="E171" s="339"/>
      <c r="F171" s="339"/>
      <c r="G171" s="339">
        <v>0.3</v>
      </c>
      <c r="H171" s="339"/>
      <c r="I171" s="339"/>
      <c r="J171" s="339"/>
      <c r="K171" s="339"/>
    </row>
    <row r="172" spans="1:11" s="316" customFormat="1" ht="12.75" customHeight="1">
      <c r="A172" s="475"/>
      <c r="B172" s="477"/>
      <c r="C172" s="338" t="s">
        <v>773</v>
      </c>
      <c r="D172" s="339">
        <f t="shared" si="38"/>
        <v>0</v>
      </c>
      <c r="E172" s="339"/>
      <c r="F172" s="339"/>
      <c r="G172" s="339"/>
      <c r="H172" s="339"/>
      <c r="I172" s="339"/>
      <c r="J172" s="339"/>
      <c r="K172" s="339"/>
    </row>
    <row r="173" spans="1:11" s="316" customFormat="1" ht="12.75" customHeight="1">
      <c r="A173" s="475"/>
      <c r="B173" s="477"/>
      <c r="C173" s="338" t="s">
        <v>774</v>
      </c>
      <c r="D173" s="339">
        <f t="shared" si="38"/>
        <v>0</v>
      </c>
      <c r="E173" s="339"/>
      <c r="F173" s="339"/>
      <c r="G173" s="339"/>
      <c r="H173" s="339"/>
      <c r="I173" s="339"/>
      <c r="J173" s="339"/>
      <c r="K173" s="339"/>
    </row>
    <row r="174" spans="1:11" s="316" customFormat="1" ht="26.25" customHeight="1">
      <c r="A174" s="474" t="s">
        <v>848</v>
      </c>
      <c r="B174" s="476" t="s">
        <v>460</v>
      </c>
      <c r="C174" s="337" t="s">
        <v>805</v>
      </c>
      <c r="D174" s="339">
        <f aca="true" t="shared" si="40" ref="D174:D191">SUM(E174:K174)</f>
        <v>8</v>
      </c>
      <c r="E174" s="340">
        <f aca="true" t="shared" si="41" ref="E174:K174">SUM(E175:E179)</f>
        <v>0</v>
      </c>
      <c r="F174" s="340">
        <f t="shared" si="41"/>
        <v>0</v>
      </c>
      <c r="G174" s="340">
        <f t="shared" si="41"/>
        <v>0</v>
      </c>
      <c r="H174" s="340">
        <f t="shared" si="41"/>
        <v>8</v>
      </c>
      <c r="I174" s="340">
        <f t="shared" si="41"/>
        <v>0</v>
      </c>
      <c r="J174" s="340">
        <f t="shared" si="41"/>
        <v>0</v>
      </c>
      <c r="K174" s="340">
        <f t="shared" si="41"/>
        <v>0</v>
      </c>
    </row>
    <row r="175" spans="1:11" s="316" customFormat="1" ht="12.75" customHeight="1">
      <c r="A175" s="475"/>
      <c r="B175" s="477"/>
      <c r="C175" s="338" t="s">
        <v>770</v>
      </c>
      <c r="D175" s="339">
        <f t="shared" si="40"/>
        <v>2.4</v>
      </c>
      <c r="E175" s="339"/>
      <c r="F175" s="339"/>
      <c r="G175" s="339"/>
      <c r="H175" s="339">
        <v>2.4</v>
      </c>
      <c r="I175" s="339"/>
      <c r="J175" s="339"/>
      <c r="K175" s="339"/>
    </row>
    <row r="176" spans="1:11" s="316" customFormat="1" ht="12.75" customHeight="1">
      <c r="A176" s="475"/>
      <c r="B176" s="477"/>
      <c r="C176" s="338" t="s">
        <v>771</v>
      </c>
      <c r="D176" s="339">
        <f t="shared" si="40"/>
        <v>5.2</v>
      </c>
      <c r="E176" s="339"/>
      <c r="F176" s="339"/>
      <c r="G176" s="339"/>
      <c r="H176" s="339">
        <v>5.2</v>
      </c>
      <c r="I176" s="339"/>
      <c r="J176" s="339"/>
      <c r="K176" s="339"/>
    </row>
    <row r="177" spans="1:11" s="316" customFormat="1" ht="12.75" customHeight="1">
      <c r="A177" s="475"/>
      <c r="B177" s="477"/>
      <c r="C177" s="338" t="s">
        <v>772</v>
      </c>
      <c r="D177" s="339">
        <f t="shared" si="40"/>
        <v>0.4</v>
      </c>
      <c r="E177" s="339"/>
      <c r="F177" s="339"/>
      <c r="G177" s="339"/>
      <c r="H177" s="339">
        <v>0.4</v>
      </c>
      <c r="I177" s="339"/>
      <c r="J177" s="339"/>
      <c r="K177" s="339"/>
    </row>
    <row r="178" spans="1:11" s="316" customFormat="1" ht="12.75" customHeight="1">
      <c r="A178" s="475"/>
      <c r="B178" s="477"/>
      <c r="C178" s="338" t="s">
        <v>773</v>
      </c>
      <c r="D178" s="339">
        <f t="shared" si="40"/>
        <v>0</v>
      </c>
      <c r="E178" s="339"/>
      <c r="F178" s="339"/>
      <c r="G178" s="339"/>
      <c r="H178" s="339"/>
      <c r="I178" s="339"/>
      <c r="J178" s="339"/>
      <c r="K178" s="339"/>
    </row>
    <row r="179" spans="1:11" s="316" customFormat="1" ht="12.75" customHeight="1">
      <c r="A179" s="475"/>
      <c r="B179" s="477"/>
      <c r="C179" s="338" t="s">
        <v>774</v>
      </c>
      <c r="D179" s="339">
        <f t="shared" si="40"/>
        <v>0</v>
      </c>
      <c r="E179" s="339"/>
      <c r="F179" s="339"/>
      <c r="G179" s="339"/>
      <c r="H179" s="339"/>
      <c r="I179" s="339"/>
      <c r="J179" s="339"/>
      <c r="K179" s="339"/>
    </row>
    <row r="180" spans="1:11" s="316" customFormat="1" ht="26.25" customHeight="1">
      <c r="A180" s="474" t="s">
        <v>849</v>
      </c>
      <c r="B180" s="476" t="s">
        <v>463</v>
      </c>
      <c r="C180" s="337" t="s">
        <v>805</v>
      </c>
      <c r="D180" s="339">
        <f t="shared" si="40"/>
        <v>5</v>
      </c>
      <c r="E180" s="340">
        <f aca="true" t="shared" si="42" ref="E180:K180">SUM(E181:E185)</f>
        <v>0</v>
      </c>
      <c r="F180" s="340">
        <f t="shared" si="42"/>
        <v>0</v>
      </c>
      <c r="G180" s="340">
        <f t="shared" si="42"/>
        <v>0</v>
      </c>
      <c r="H180" s="340">
        <f t="shared" si="42"/>
        <v>0</v>
      </c>
      <c r="I180" s="340">
        <f t="shared" si="42"/>
        <v>5</v>
      </c>
      <c r="J180" s="340">
        <f t="shared" si="42"/>
        <v>0</v>
      </c>
      <c r="K180" s="340">
        <f t="shared" si="42"/>
        <v>0</v>
      </c>
    </row>
    <row r="181" spans="1:11" s="316" customFormat="1" ht="12.75" customHeight="1">
      <c r="A181" s="475"/>
      <c r="B181" s="477"/>
      <c r="C181" s="338" t="s">
        <v>770</v>
      </c>
      <c r="D181" s="339">
        <f t="shared" si="40"/>
        <v>1.5</v>
      </c>
      <c r="E181" s="339"/>
      <c r="F181" s="339"/>
      <c r="G181" s="339"/>
      <c r="H181" s="339"/>
      <c r="I181" s="339">
        <v>1.5</v>
      </c>
      <c r="J181" s="339"/>
      <c r="K181" s="339"/>
    </row>
    <row r="182" spans="1:11" s="316" customFormat="1" ht="12.75" customHeight="1">
      <c r="A182" s="475"/>
      <c r="B182" s="477"/>
      <c r="C182" s="338" t="s">
        <v>771</v>
      </c>
      <c r="D182" s="339">
        <f t="shared" si="40"/>
        <v>3.25</v>
      </c>
      <c r="E182" s="339"/>
      <c r="F182" s="339"/>
      <c r="G182" s="339"/>
      <c r="H182" s="339"/>
      <c r="I182" s="339">
        <v>3.25</v>
      </c>
      <c r="J182" s="339"/>
      <c r="K182" s="339"/>
    </row>
    <row r="183" spans="1:11" s="316" customFormat="1" ht="12.75" customHeight="1">
      <c r="A183" s="475"/>
      <c r="B183" s="477"/>
      <c r="C183" s="338" t="s">
        <v>772</v>
      </c>
      <c r="D183" s="339">
        <f t="shared" si="40"/>
        <v>0.25</v>
      </c>
      <c r="E183" s="339"/>
      <c r="F183" s="339"/>
      <c r="G183" s="339"/>
      <c r="H183" s="339"/>
      <c r="I183" s="339">
        <v>0.25</v>
      </c>
      <c r="J183" s="339"/>
      <c r="K183" s="339"/>
    </row>
    <row r="184" spans="1:11" s="316" customFormat="1" ht="12.75" customHeight="1">
      <c r="A184" s="475"/>
      <c r="B184" s="477"/>
      <c r="C184" s="338" t="s">
        <v>773</v>
      </c>
      <c r="D184" s="339">
        <f t="shared" si="40"/>
        <v>0</v>
      </c>
      <c r="E184" s="339"/>
      <c r="F184" s="339"/>
      <c r="G184" s="339"/>
      <c r="H184" s="339"/>
      <c r="I184" s="339"/>
      <c r="J184" s="339"/>
      <c r="K184" s="339"/>
    </row>
    <row r="185" spans="1:11" s="316" customFormat="1" ht="12.75" customHeight="1">
      <c r="A185" s="475"/>
      <c r="B185" s="477"/>
      <c r="C185" s="338" t="s">
        <v>774</v>
      </c>
      <c r="D185" s="339">
        <f t="shared" si="40"/>
        <v>0</v>
      </c>
      <c r="E185" s="339"/>
      <c r="F185" s="339"/>
      <c r="G185" s="339"/>
      <c r="H185" s="339"/>
      <c r="I185" s="339"/>
      <c r="J185" s="339"/>
      <c r="K185" s="339"/>
    </row>
    <row r="186" spans="1:11" s="316" customFormat="1" ht="26.25" customHeight="1">
      <c r="A186" s="474" t="s">
        <v>850</v>
      </c>
      <c r="B186" s="476" t="s">
        <v>464</v>
      </c>
      <c r="C186" s="337" t="s">
        <v>805</v>
      </c>
      <c r="D186" s="339">
        <f t="shared" si="40"/>
        <v>6</v>
      </c>
      <c r="E186" s="340">
        <f aca="true" t="shared" si="43" ref="E186:K186">SUM(E187:E191)</f>
        <v>0</v>
      </c>
      <c r="F186" s="340">
        <f t="shared" si="43"/>
        <v>0</v>
      </c>
      <c r="G186" s="340">
        <f t="shared" si="43"/>
        <v>0</v>
      </c>
      <c r="H186" s="340">
        <f t="shared" si="43"/>
        <v>0</v>
      </c>
      <c r="I186" s="340">
        <f t="shared" si="43"/>
        <v>0</v>
      </c>
      <c r="J186" s="340">
        <f t="shared" si="43"/>
        <v>6</v>
      </c>
      <c r="K186" s="340">
        <f t="shared" si="43"/>
        <v>0</v>
      </c>
    </row>
    <row r="187" spans="1:11" s="316" customFormat="1" ht="12.75" customHeight="1">
      <c r="A187" s="475"/>
      <c r="B187" s="477"/>
      <c r="C187" s="338" t="s">
        <v>770</v>
      </c>
      <c r="D187" s="339">
        <f t="shared" si="40"/>
        <v>1.8</v>
      </c>
      <c r="E187" s="339"/>
      <c r="F187" s="339"/>
      <c r="G187" s="339"/>
      <c r="H187" s="339"/>
      <c r="I187" s="339"/>
      <c r="J187" s="339">
        <v>1.8</v>
      </c>
      <c r="K187" s="339"/>
    </row>
    <row r="188" spans="1:11" s="316" customFormat="1" ht="12.75" customHeight="1">
      <c r="A188" s="475"/>
      <c r="B188" s="477"/>
      <c r="C188" s="338" t="s">
        <v>771</v>
      </c>
      <c r="D188" s="339">
        <f t="shared" si="40"/>
        <v>3.9</v>
      </c>
      <c r="E188" s="339"/>
      <c r="F188" s="339"/>
      <c r="G188" s="339"/>
      <c r="H188" s="339"/>
      <c r="I188" s="339"/>
      <c r="J188" s="339">
        <v>3.9</v>
      </c>
      <c r="K188" s="339"/>
    </row>
    <row r="189" spans="1:11" s="316" customFormat="1" ht="12.75" customHeight="1">
      <c r="A189" s="475"/>
      <c r="B189" s="477"/>
      <c r="C189" s="338" t="s">
        <v>772</v>
      </c>
      <c r="D189" s="339">
        <f t="shared" si="40"/>
        <v>0.3</v>
      </c>
      <c r="E189" s="339"/>
      <c r="F189" s="339"/>
      <c r="G189" s="339"/>
      <c r="H189" s="339"/>
      <c r="I189" s="339"/>
      <c r="J189" s="339">
        <v>0.3</v>
      </c>
      <c r="K189" s="339"/>
    </row>
    <row r="190" spans="1:11" s="316" customFormat="1" ht="12.75" customHeight="1">
      <c r="A190" s="475"/>
      <c r="B190" s="477"/>
      <c r="C190" s="338" t="s">
        <v>773</v>
      </c>
      <c r="D190" s="339">
        <f t="shared" si="40"/>
        <v>0</v>
      </c>
      <c r="E190" s="339"/>
      <c r="F190" s="339"/>
      <c r="G190" s="339"/>
      <c r="H190" s="339"/>
      <c r="I190" s="339"/>
      <c r="J190" s="339"/>
      <c r="K190" s="339"/>
    </row>
    <row r="191" spans="1:11" s="316" customFormat="1" ht="12.75" customHeight="1">
      <c r="A191" s="475"/>
      <c r="B191" s="477"/>
      <c r="C191" s="338" t="s">
        <v>774</v>
      </c>
      <c r="D191" s="339">
        <f t="shared" si="40"/>
        <v>0</v>
      </c>
      <c r="E191" s="339"/>
      <c r="F191" s="339"/>
      <c r="G191" s="339"/>
      <c r="H191" s="339"/>
      <c r="I191" s="339"/>
      <c r="J191" s="339"/>
      <c r="K191" s="339"/>
    </row>
    <row r="192" spans="1:11" s="316" customFormat="1" ht="38.25" customHeight="1">
      <c r="A192" s="478">
        <v>6</v>
      </c>
      <c r="B192" s="484" t="s">
        <v>808</v>
      </c>
      <c r="C192" s="356" t="s">
        <v>805</v>
      </c>
      <c r="D192" s="341">
        <v>0</v>
      </c>
      <c r="E192" s="341">
        <v>0</v>
      </c>
      <c r="F192" s="341">
        <v>0</v>
      </c>
      <c r="G192" s="341">
        <v>0</v>
      </c>
      <c r="H192" s="341">
        <v>0</v>
      </c>
      <c r="I192" s="341">
        <v>0</v>
      </c>
      <c r="J192" s="341">
        <v>0</v>
      </c>
      <c r="K192" s="341">
        <v>0</v>
      </c>
    </row>
    <row r="193" spans="1:11" s="316" customFormat="1" ht="12.75" customHeight="1">
      <c r="A193" s="478"/>
      <c r="B193" s="485"/>
      <c r="C193" s="335" t="s">
        <v>770</v>
      </c>
      <c r="D193" s="341">
        <v>0</v>
      </c>
      <c r="E193" s="341">
        <v>0</v>
      </c>
      <c r="F193" s="341">
        <v>0</v>
      </c>
      <c r="G193" s="341">
        <v>0</v>
      </c>
      <c r="H193" s="341">
        <v>0</v>
      </c>
      <c r="I193" s="341">
        <v>0</v>
      </c>
      <c r="J193" s="341">
        <v>0</v>
      </c>
      <c r="K193" s="341">
        <v>0</v>
      </c>
    </row>
    <row r="194" spans="1:11" s="316" customFormat="1" ht="12.75" customHeight="1">
      <c r="A194" s="478"/>
      <c r="B194" s="485"/>
      <c r="C194" s="335" t="s">
        <v>771</v>
      </c>
      <c r="D194" s="341">
        <v>0</v>
      </c>
      <c r="E194" s="341">
        <v>0</v>
      </c>
      <c r="F194" s="341">
        <v>0</v>
      </c>
      <c r="G194" s="341">
        <v>0</v>
      </c>
      <c r="H194" s="341">
        <v>0</v>
      </c>
      <c r="I194" s="341">
        <v>0</v>
      </c>
      <c r="J194" s="341">
        <v>0</v>
      </c>
      <c r="K194" s="341">
        <v>0</v>
      </c>
    </row>
    <row r="195" spans="1:11" s="316" customFormat="1" ht="12.75" customHeight="1">
      <c r="A195" s="478"/>
      <c r="B195" s="485"/>
      <c r="C195" s="335" t="s">
        <v>772</v>
      </c>
      <c r="D195" s="341">
        <v>0</v>
      </c>
      <c r="E195" s="341">
        <v>0</v>
      </c>
      <c r="F195" s="341">
        <v>0</v>
      </c>
      <c r="G195" s="341">
        <v>0</v>
      </c>
      <c r="H195" s="341">
        <v>0</v>
      </c>
      <c r="I195" s="341">
        <v>0</v>
      </c>
      <c r="J195" s="341">
        <v>0</v>
      </c>
      <c r="K195" s="341">
        <v>0</v>
      </c>
    </row>
    <row r="196" spans="1:11" s="316" customFormat="1" ht="12.75" customHeight="1">
      <c r="A196" s="478"/>
      <c r="B196" s="485"/>
      <c r="C196" s="335" t="s">
        <v>773</v>
      </c>
      <c r="D196" s="341">
        <v>0</v>
      </c>
      <c r="E196" s="341">
        <v>0</v>
      </c>
      <c r="F196" s="341">
        <v>0</v>
      </c>
      <c r="G196" s="341">
        <v>0</v>
      </c>
      <c r="H196" s="341">
        <v>0</v>
      </c>
      <c r="I196" s="341">
        <v>0</v>
      </c>
      <c r="J196" s="341">
        <v>0</v>
      </c>
      <c r="K196" s="341">
        <v>0</v>
      </c>
    </row>
    <row r="197" spans="1:11" s="316" customFormat="1" ht="12.75" customHeight="1">
      <c r="A197" s="478"/>
      <c r="B197" s="486"/>
      <c r="C197" s="335" t="s">
        <v>774</v>
      </c>
      <c r="D197" s="341">
        <v>0</v>
      </c>
      <c r="E197" s="341">
        <v>0</v>
      </c>
      <c r="F197" s="341">
        <v>0</v>
      </c>
      <c r="G197" s="341">
        <v>0</v>
      </c>
      <c r="H197" s="341">
        <v>0</v>
      </c>
      <c r="I197" s="341">
        <v>0</v>
      </c>
      <c r="J197" s="341">
        <v>0</v>
      </c>
      <c r="K197" s="341">
        <v>0</v>
      </c>
    </row>
    <row r="198" spans="1:13" ht="24.75" customHeight="1">
      <c r="A198" s="478">
        <v>7</v>
      </c>
      <c r="B198" s="479" t="s">
        <v>851</v>
      </c>
      <c r="C198" s="333" t="s">
        <v>805</v>
      </c>
      <c r="D198" s="345">
        <f aca="true" t="shared" si="44" ref="D198:D203">SUM(E198:K198)</f>
        <v>29.350450000000002</v>
      </c>
      <c r="E198" s="345">
        <f>E199+E200+E201+E202+E203</f>
        <v>0</v>
      </c>
      <c r="F198" s="345">
        <f aca="true" t="shared" si="45" ref="F198:K198">F199+F200+F201+F202+F203</f>
        <v>16.190450000000002</v>
      </c>
      <c r="G198" s="345">
        <f t="shared" si="45"/>
        <v>8.37</v>
      </c>
      <c r="H198" s="345">
        <f t="shared" si="45"/>
        <v>4.79</v>
      </c>
      <c r="I198" s="345">
        <f t="shared" si="45"/>
        <v>0</v>
      </c>
      <c r="J198" s="345">
        <f t="shared" si="45"/>
        <v>0</v>
      </c>
      <c r="K198" s="345">
        <f t="shared" si="45"/>
        <v>0</v>
      </c>
      <c r="M198" s="359">
        <f>D198+D260</f>
        <v>310.40408</v>
      </c>
    </row>
    <row r="199" spans="1:11" ht="12.75" customHeight="1">
      <c r="A199" s="478"/>
      <c r="B199" s="480"/>
      <c r="C199" s="335" t="s">
        <v>770</v>
      </c>
      <c r="D199" s="346">
        <f t="shared" si="44"/>
        <v>8.802449999999999</v>
      </c>
      <c r="E199" s="346">
        <f>E206+E218+E224+E230+E236+E243+E249+E255+E212</f>
        <v>0</v>
      </c>
      <c r="F199" s="346">
        <f aca="true" t="shared" si="46" ref="F199:K199">F206+F218+F224+F230+F236+F243+F249+F255+F212</f>
        <v>4.85495</v>
      </c>
      <c r="G199" s="346">
        <f t="shared" si="46"/>
        <v>2.5105</v>
      </c>
      <c r="H199" s="346">
        <f t="shared" si="46"/>
        <v>1.4369999999999998</v>
      </c>
      <c r="I199" s="346">
        <f t="shared" si="46"/>
        <v>0</v>
      </c>
      <c r="J199" s="346">
        <f t="shared" si="46"/>
        <v>0</v>
      </c>
      <c r="K199" s="346">
        <f t="shared" si="46"/>
        <v>0</v>
      </c>
    </row>
    <row r="200" spans="1:11" ht="12.75" customHeight="1">
      <c r="A200" s="478"/>
      <c r="B200" s="480"/>
      <c r="C200" s="335" t="s">
        <v>771</v>
      </c>
      <c r="D200" s="346">
        <f t="shared" si="44"/>
        <v>10.273</v>
      </c>
      <c r="E200" s="346">
        <f aca="true" t="shared" si="47" ref="E200:K200">E207+E219+E225+E231+E237+E244+E250+E256+E213</f>
        <v>0</v>
      </c>
      <c r="F200" s="346">
        <f t="shared" si="47"/>
        <v>5.667000000000001</v>
      </c>
      <c r="G200" s="346">
        <f t="shared" si="47"/>
        <v>2.9295</v>
      </c>
      <c r="H200" s="346">
        <f t="shared" si="47"/>
        <v>1.6764999999999999</v>
      </c>
      <c r="I200" s="346">
        <f t="shared" si="47"/>
        <v>0</v>
      </c>
      <c r="J200" s="346">
        <f t="shared" si="47"/>
        <v>0</v>
      </c>
      <c r="K200" s="346">
        <f t="shared" si="47"/>
        <v>0</v>
      </c>
    </row>
    <row r="201" spans="1:11" ht="12.75" customHeight="1">
      <c r="A201" s="478"/>
      <c r="B201" s="480"/>
      <c r="C201" s="335" t="s">
        <v>772</v>
      </c>
      <c r="D201" s="346">
        <f t="shared" si="44"/>
        <v>0</v>
      </c>
      <c r="E201" s="346">
        <f aca="true" t="shared" si="48" ref="E201:K201">E208+E220+E226+E232+E238+E245+E251+E257+E214</f>
        <v>0</v>
      </c>
      <c r="F201" s="346">
        <f t="shared" si="48"/>
        <v>0</v>
      </c>
      <c r="G201" s="346">
        <f t="shared" si="48"/>
        <v>0</v>
      </c>
      <c r="H201" s="346">
        <f t="shared" si="48"/>
        <v>0</v>
      </c>
      <c r="I201" s="346">
        <f t="shared" si="48"/>
        <v>0</v>
      </c>
      <c r="J201" s="346">
        <f t="shared" si="48"/>
        <v>0</v>
      </c>
      <c r="K201" s="346">
        <f t="shared" si="48"/>
        <v>0</v>
      </c>
    </row>
    <row r="202" spans="1:11" ht="12.75" customHeight="1">
      <c r="A202" s="478"/>
      <c r="B202" s="480"/>
      <c r="C202" s="335" t="s">
        <v>773</v>
      </c>
      <c r="D202" s="346">
        <f t="shared" si="44"/>
        <v>4.404999999999999</v>
      </c>
      <c r="E202" s="346">
        <f aca="true" t="shared" si="49" ref="E202:K202">E209+E221+E227+E233+E239+E246+E252+E258+E215</f>
        <v>0</v>
      </c>
      <c r="F202" s="346">
        <f t="shared" si="49"/>
        <v>2.4305</v>
      </c>
      <c r="G202" s="346">
        <f t="shared" si="49"/>
        <v>1.256</v>
      </c>
      <c r="H202" s="346">
        <f t="shared" si="49"/>
        <v>0.7184999999999999</v>
      </c>
      <c r="I202" s="346">
        <f t="shared" si="49"/>
        <v>0</v>
      </c>
      <c r="J202" s="346">
        <f t="shared" si="49"/>
        <v>0</v>
      </c>
      <c r="K202" s="346">
        <f t="shared" si="49"/>
        <v>0</v>
      </c>
    </row>
    <row r="203" spans="1:11" ht="12.75" customHeight="1">
      <c r="A203" s="478"/>
      <c r="B203" s="481"/>
      <c r="C203" s="335" t="s">
        <v>774</v>
      </c>
      <c r="D203" s="346">
        <f t="shared" si="44"/>
        <v>5.87</v>
      </c>
      <c r="E203" s="346">
        <f aca="true" t="shared" si="50" ref="E203:K203">E210+E222+E228+E234+E240+E247+E253+E259+E216</f>
        <v>0</v>
      </c>
      <c r="F203" s="346">
        <f t="shared" si="50"/>
        <v>3.238</v>
      </c>
      <c r="G203" s="346">
        <f t="shared" si="50"/>
        <v>1.674</v>
      </c>
      <c r="H203" s="346">
        <f t="shared" si="50"/>
        <v>0.958</v>
      </c>
      <c r="I203" s="346">
        <f t="shared" si="50"/>
        <v>0</v>
      </c>
      <c r="J203" s="346">
        <f t="shared" si="50"/>
        <v>0</v>
      </c>
      <c r="K203" s="346">
        <f t="shared" si="50"/>
        <v>0</v>
      </c>
    </row>
    <row r="204" spans="1:11" ht="25.5" customHeight="1">
      <c r="A204" s="333"/>
      <c r="B204" s="347" t="s">
        <v>702</v>
      </c>
      <c r="C204" s="335"/>
      <c r="D204" s="340"/>
      <c r="E204" s="340"/>
      <c r="F204" s="340"/>
      <c r="G204" s="340"/>
      <c r="H204" s="340"/>
      <c r="I204" s="340"/>
      <c r="J204" s="340"/>
      <c r="K204" s="340"/>
    </row>
    <row r="205" spans="1:11" s="316" customFormat="1" ht="26.25" customHeight="1">
      <c r="A205" s="474" t="s">
        <v>852</v>
      </c>
      <c r="B205" s="476" t="s">
        <v>457</v>
      </c>
      <c r="C205" s="337" t="s">
        <v>805</v>
      </c>
      <c r="D205" s="339">
        <f aca="true" t="shared" si="51" ref="D205:D210">SUM(E205:K205)</f>
        <v>2.47</v>
      </c>
      <c r="E205" s="340">
        <f aca="true" t="shared" si="52" ref="E205:K205">SUM(E206:E210)</f>
        <v>0</v>
      </c>
      <c r="F205" s="340">
        <f t="shared" si="52"/>
        <v>2.47</v>
      </c>
      <c r="G205" s="340">
        <f t="shared" si="52"/>
        <v>0</v>
      </c>
      <c r="H205" s="340">
        <f t="shared" si="52"/>
        <v>0</v>
      </c>
      <c r="I205" s="340">
        <f t="shared" si="52"/>
        <v>0</v>
      </c>
      <c r="J205" s="340">
        <f t="shared" si="52"/>
        <v>0</v>
      </c>
      <c r="K205" s="340">
        <f t="shared" si="52"/>
        <v>0</v>
      </c>
    </row>
    <row r="206" spans="1:11" s="316" customFormat="1" ht="12.75" customHeight="1">
      <c r="A206" s="475"/>
      <c r="B206" s="477"/>
      <c r="C206" s="338" t="s">
        <v>770</v>
      </c>
      <c r="D206" s="339">
        <f t="shared" si="51"/>
        <v>0.7405</v>
      </c>
      <c r="E206" s="339"/>
      <c r="F206" s="339">
        <v>0.7405</v>
      </c>
      <c r="G206" s="339"/>
      <c r="H206" s="339"/>
      <c r="I206" s="339"/>
      <c r="J206" s="339"/>
      <c r="K206" s="339"/>
    </row>
    <row r="207" spans="1:11" s="316" customFormat="1" ht="12.75" customHeight="1">
      <c r="A207" s="475"/>
      <c r="B207" s="477"/>
      <c r="C207" s="338" t="s">
        <v>771</v>
      </c>
      <c r="D207" s="339">
        <f t="shared" si="51"/>
        <v>0.865</v>
      </c>
      <c r="E207" s="339"/>
      <c r="F207" s="339">
        <v>0.865</v>
      </c>
      <c r="G207" s="339"/>
      <c r="H207" s="339"/>
      <c r="I207" s="339"/>
      <c r="J207" s="339"/>
      <c r="K207" s="339"/>
    </row>
    <row r="208" spans="1:11" s="316" customFormat="1" ht="12.75" customHeight="1">
      <c r="A208" s="475"/>
      <c r="B208" s="477"/>
      <c r="C208" s="338" t="s">
        <v>772</v>
      </c>
      <c r="D208" s="339">
        <f t="shared" si="51"/>
        <v>0</v>
      </c>
      <c r="E208" s="339"/>
      <c r="F208" s="339"/>
      <c r="G208" s="339"/>
      <c r="H208" s="339"/>
      <c r="I208" s="339"/>
      <c r="J208" s="339"/>
      <c r="K208" s="339"/>
    </row>
    <row r="209" spans="1:11" s="316" customFormat="1" ht="12.75" customHeight="1">
      <c r="A209" s="475"/>
      <c r="B209" s="477"/>
      <c r="C209" s="338" t="s">
        <v>773</v>
      </c>
      <c r="D209" s="339">
        <f t="shared" si="51"/>
        <v>0.3705</v>
      </c>
      <c r="E209" s="339"/>
      <c r="F209" s="339">
        <v>0.3705</v>
      </c>
      <c r="G209" s="339"/>
      <c r="H209" s="339"/>
      <c r="I209" s="339"/>
      <c r="J209" s="339"/>
      <c r="K209" s="339"/>
    </row>
    <row r="210" spans="1:11" s="316" customFormat="1" ht="12.75" customHeight="1">
      <c r="A210" s="475"/>
      <c r="B210" s="477"/>
      <c r="C210" s="338" t="s">
        <v>774</v>
      </c>
      <c r="D210" s="339">
        <f t="shared" si="51"/>
        <v>0.494</v>
      </c>
      <c r="E210" s="339"/>
      <c r="F210" s="339">
        <v>0.494</v>
      </c>
      <c r="G210" s="339"/>
      <c r="H210" s="339"/>
      <c r="I210" s="339"/>
      <c r="J210" s="339"/>
      <c r="K210" s="339"/>
    </row>
    <row r="211" spans="1:11" s="316" customFormat="1" ht="26.25" customHeight="1">
      <c r="A211" s="474" t="s">
        <v>853</v>
      </c>
      <c r="B211" s="476" t="s">
        <v>458</v>
      </c>
      <c r="C211" s="337" t="s">
        <v>805</v>
      </c>
      <c r="D211" s="339">
        <f aca="true" t="shared" si="53" ref="D211:D216">SUM(E211:K211)</f>
        <v>2.39</v>
      </c>
      <c r="E211" s="340">
        <f aca="true" t="shared" si="54" ref="E211:K211">SUM(E212:E216)</f>
        <v>0</v>
      </c>
      <c r="F211" s="340">
        <f t="shared" si="54"/>
        <v>0</v>
      </c>
      <c r="G211" s="340">
        <f t="shared" si="54"/>
        <v>0</v>
      </c>
      <c r="H211" s="340">
        <f t="shared" si="54"/>
        <v>2.39</v>
      </c>
      <c r="I211" s="340">
        <f t="shared" si="54"/>
        <v>0</v>
      </c>
      <c r="J211" s="340">
        <f t="shared" si="54"/>
        <v>0</v>
      </c>
      <c r="K211" s="340">
        <f t="shared" si="54"/>
        <v>0</v>
      </c>
    </row>
    <row r="212" spans="1:11" s="316" customFormat="1" ht="12.75" customHeight="1">
      <c r="A212" s="475"/>
      <c r="B212" s="477"/>
      <c r="C212" s="338" t="s">
        <v>770</v>
      </c>
      <c r="D212" s="339">
        <f t="shared" si="53"/>
        <v>0.717</v>
      </c>
      <c r="E212" s="339"/>
      <c r="F212" s="339"/>
      <c r="G212" s="339"/>
      <c r="H212" s="339">
        <v>0.717</v>
      </c>
      <c r="I212" s="339"/>
      <c r="J212" s="339"/>
      <c r="K212" s="339"/>
    </row>
    <row r="213" spans="1:11" s="316" customFormat="1" ht="12.75" customHeight="1">
      <c r="A213" s="475"/>
      <c r="B213" s="477"/>
      <c r="C213" s="338" t="s">
        <v>771</v>
      </c>
      <c r="D213" s="339">
        <f t="shared" si="53"/>
        <v>0.8365</v>
      </c>
      <c r="E213" s="339"/>
      <c r="F213" s="339"/>
      <c r="G213" s="339"/>
      <c r="H213" s="339">
        <v>0.8365</v>
      </c>
      <c r="I213" s="339"/>
      <c r="J213" s="339"/>
      <c r="K213" s="339"/>
    </row>
    <row r="214" spans="1:11" s="316" customFormat="1" ht="12.75" customHeight="1">
      <c r="A214" s="475"/>
      <c r="B214" s="477"/>
      <c r="C214" s="338" t="s">
        <v>772</v>
      </c>
      <c r="D214" s="339">
        <f t="shared" si="53"/>
        <v>0</v>
      </c>
      <c r="E214" s="339"/>
      <c r="F214" s="339"/>
      <c r="G214" s="339"/>
      <c r="H214" s="339"/>
      <c r="I214" s="339"/>
      <c r="J214" s="339"/>
      <c r="K214" s="339"/>
    </row>
    <row r="215" spans="1:11" s="316" customFormat="1" ht="12.75" customHeight="1">
      <c r="A215" s="475"/>
      <c r="B215" s="477"/>
      <c r="C215" s="338" t="s">
        <v>773</v>
      </c>
      <c r="D215" s="339">
        <f t="shared" si="53"/>
        <v>0.3585</v>
      </c>
      <c r="E215" s="339"/>
      <c r="F215" s="339"/>
      <c r="G215" s="339"/>
      <c r="H215" s="339">
        <v>0.3585</v>
      </c>
      <c r="I215" s="339"/>
      <c r="J215" s="339"/>
      <c r="K215" s="339"/>
    </row>
    <row r="216" spans="1:11" s="316" customFormat="1" ht="12.75" customHeight="1">
      <c r="A216" s="475"/>
      <c r="B216" s="477"/>
      <c r="C216" s="338" t="s">
        <v>774</v>
      </c>
      <c r="D216" s="339">
        <f t="shared" si="53"/>
        <v>0.478</v>
      </c>
      <c r="E216" s="339"/>
      <c r="F216" s="339"/>
      <c r="G216" s="339"/>
      <c r="H216" s="339">
        <v>0.478</v>
      </c>
      <c r="I216" s="339"/>
      <c r="J216" s="339"/>
      <c r="K216" s="339"/>
    </row>
    <row r="217" spans="1:11" s="316" customFormat="1" ht="26.25" customHeight="1">
      <c r="A217" s="474" t="s">
        <v>854</v>
      </c>
      <c r="B217" s="476" t="s">
        <v>459</v>
      </c>
      <c r="C217" s="337" t="s">
        <v>805</v>
      </c>
      <c r="D217" s="339">
        <f aca="true" t="shared" si="55" ref="D217:D247">SUM(E217:K217)</f>
        <v>2.4</v>
      </c>
      <c r="E217" s="340">
        <f aca="true" t="shared" si="56" ref="E217:K217">SUM(E218:E222)</f>
        <v>0</v>
      </c>
      <c r="F217" s="340">
        <f t="shared" si="56"/>
        <v>0</v>
      </c>
      <c r="G217" s="340">
        <f t="shared" si="56"/>
        <v>0</v>
      </c>
      <c r="H217" s="340">
        <f t="shared" si="56"/>
        <v>2.4</v>
      </c>
      <c r="I217" s="340">
        <f t="shared" si="56"/>
        <v>0</v>
      </c>
      <c r="J217" s="340">
        <f t="shared" si="56"/>
        <v>0</v>
      </c>
      <c r="K217" s="340">
        <f t="shared" si="56"/>
        <v>0</v>
      </c>
    </row>
    <row r="218" spans="1:11" s="316" customFormat="1" ht="12.75" customHeight="1">
      <c r="A218" s="475"/>
      <c r="B218" s="477"/>
      <c r="C218" s="338" t="s">
        <v>770</v>
      </c>
      <c r="D218" s="339">
        <f t="shared" si="55"/>
        <v>0.72</v>
      </c>
      <c r="E218" s="339"/>
      <c r="F218" s="339"/>
      <c r="G218" s="339"/>
      <c r="H218" s="339">
        <v>0.72</v>
      </c>
      <c r="I218" s="339"/>
      <c r="J218" s="339"/>
      <c r="K218" s="339"/>
    </row>
    <row r="219" spans="1:11" s="316" customFormat="1" ht="12.75" customHeight="1">
      <c r="A219" s="475"/>
      <c r="B219" s="477"/>
      <c r="C219" s="338" t="s">
        <v>771</v>
      </c>
      <c r="D219" s="339">
        <f t="shared" si="55"/>
        <v>0.84</v>
      </c>
      <c r="E219" s="339"/>
      <c r="F219" s="339"/>
      <c r="G219" s="339"/>
      <c r="H219" s="339">
        <v>0.84</v>
      </c>
      <c r="I219" s="339"/>
      <c r="J219" s="339"/>
      <c r="K219" s="339"/>
    </row>
    <row r="220" spans="1:11" s="316" customFormat="1" ht="12.75" customHeight="1">
      <c r="A220" s="475"/>
      <c r="B220" s="477"/>
      <c r="C220" s="338" t="s">
        <v>772</v>
      </c>
      <c r="D220" s="339">
        <f t="shared" si="55"/>
        <v>0</v>
      </c>
      <c r="E220" s="339"/>
      <c r="F220" s="339"/>
      <c r="G220" s="339"/>
      <c r="H220" s="339"/>
      <c r="I220" s="339"/>
      <c r="J220" s="339"/>
      <c r="K220" s="339"/>
    </row>
    <row r="221" spans="1:11" s="316" customFormat="1" ht="12.75" customHeight="1">
      <c r="A221" s="475"/>
      <c r="B221" s="477"/>
      <c r="C221" s="338" t="s">
        <v>773</v>
      </c>
      <c r="D221" s="339">
        <f t="shared" si="55"/>
        <v>0.36</v>
      </c>
      <c r="E221" s="339"/>
      <c r="F221" s="339"/>
      <c r="G221" s="339"/>
      <c r="H221" s="339">
        <v>0.36</v>
      </c>
      <c r="I221" s="339"/>
      <c r="J221" s="339"/>
      <c r="K221" s="339"/>
    </row>
    <row r="222" spans="1:11" s="316" customFormat="1" ht="12.75" customHeight="1">
      <c r="A222" s="475"/>
      <c r="B222" s="477"/>
      <c r="C222" s="338" t="s">
        <v>774</v>
      </c>
      <c r="D222" s="339">
        <f t="shared" si="55"/>
        <v>0.48</v>
      </c>
      <c r="E222" s="339"/>
      <c r="F222" s="339"/>
      <c r="G222" s="339"/>
      <c r="H222" s="339">
        <v>0.48</v>
      </c>
      <c r="I222" s="339"/>
      <c r="J222" s="339"/>
      <c r="K222" s="339"/>
    </row>
    <row r="223" spans="1:11" s="316" customFormat="1" ht="26.25" customHeight="1">
      <c r="A223" s="474" t="s">
        <v>855</v>
      </c>
      <c r="B223" s="476" t="s">
        <v>460</v>
      </c>
      <c r="C223" s="337" t="s">
        <v>805</v>
      </c>
      <c r="D223" s="339">
        <f t="shared" si="55"/>
        <v>1.0904500000000001</v>
      </c>
      <c r="E223" s="340">
        <f aca="true" t="shared" si="57" ref="E223:K223">SUM(E224:E228)</f>
        <v>0</v>
      </c>
      <c r="F223" s="340">
        <f t="shared" si="57"/>
        <v>1.0904500000000001</v>
      </c>
      <c r="G223" s="340">
        <f t="shared" si="57"/>
        <v>0</v>
      </c>
      <c r="H223" s="340">
        <f t="shared" si="57"/>
        <v>0</v>
      </c>
      <c r="I223" s="340">
        <f t="shared" si="57"/>
        <v>0</v>
      </c>
      <c r="J223" s="340">
        <f t="shared" si="57"/>
        <v>0</v>
      </c>
      <c r="K223" s="340">
        <f t="shared" si="57"/>
        <v>0</v>
      </c>
    </row>
    <row r="224" spans="1:11" s="316" customFormat="1" ht="12.75" customHeight="1">
      <c r="A224" s="475"/>
      <c r="B224" s="477"/>
      <c r="C224" s="338" t="s">
        <v>770</v>
      </c>
      <c r="D224" s="339">
        <f t="shared" si="55"/>
        <v>0.32695</v>
      </c>
      <c r="E224" s="339"/>
      <c r="F224" s="339">
        <v>0.32695</v>
      </c>
      <c r="G224" s="339"/>
      <c r="H224" s="339"/>
      <c r="I224" s="339"/>
      <c r="J224" s="339"/>
      <c r="K224" s="339"/>
    </row>
    <row r="225" spans="1:11" s="316" customFormat="1" ht="12.75" customHeight="1">
      <c r="A225" s="475"/>
      <c r="B225" s="477"/>
      <c r="C225" s="338" t="s">
        <v>771</v>
      </c>
      <c r="D225" s="339">
        <f t="shared" si="55"/>
        <v>0.3815</v>
      </c>
      <c r="E225" s="339"/>
      <c r="F225" s="339">
        <v>0.3815</v>
      </c>
      <c r="G225" s="339"/>
      <c r="H225" s="339"/>
      <c r="I225" s="339"/>
      <c r="J225" s="339"/>
      <c r="K225" s="339"/>
    </row>
    <row r="226" spans="1:11" s="316" customFormat="1" ht="12.75" customHeight="1">
      <c r="A226" s="475"/>
      <c r="B226" s="477"/>
      <c r="C226" s="338" t="s">
        <v>772</v>
      </c>
      <c r="D226" s="339">
        <f t="shared" si="55"/>
        <v>0</v>
      </c>
      <c r="E226" s="339"/>
      <c r="F226" s="339"/>
      <c r="G226" s="339"/>
      <c r="H226" s="339"/>
      <c r="I226" s="339"/>
      <c r="J226" s="339"/>
      <c r="K226" s="339"/>
    </row>
    <row r="227" spans="1:11" s="316" customFormat="1" ht="12.75" customHeight="1">
      <c r="A227" s="475"/>
      <c r="B227" s="477"/>
      <c r="C227" s="338" t="s">
        <v>773</v>
      </c>
      <c r="D227" s="339">
        <f t="shared" si="55"/>
        <v>0.164</v>
      </c>
      <c r="E227" s="339"/>
      <c r="F227" s="339">
        <v>0.164</v>
      </c>
      <c r="G227" s="339"/>
      <c r="H227" s="339"/>
      <c r="I227" s="339"/>
      <c r="J227" s="339"/>
      <c r="K227" s="339"/>
    </row>
    <row r="228" spans="1:11" s="316" customFormat="1" ht="12.75" customHeight="1">
      <c r="A228" s="475"/>
      <c r="B228" s="477"/>
      <c r="C228" s="338" t="s">
        <v>774</v>
      </c>
      <c r="D228" s="339">
        <f t="shared" si="55"/>
        <v>0.218</v>
      </c>
      <c r="E228" s="339"/>
      <c r="F228" s="339">
        <v>0.218</v>
      </c>
      <c r="G228" s="339"/>
      <c r="H228" s="339"/>
      <c r="I228" s="339"/>
      <c r="J228" s="339"/>
      <c r="K228" s="339"/>
    </row>
    <row r="229" spans="1:11" s="316" customFormat="1" ht="26.25" customHeight="1">
      <c r="A229" s="474" t="s">
        <v>856</v>
      </c>
      <c r="B229" s="476" t="s">
        <v>462</v>
      </c>
      <c r="C229" s="337" t="s">
        <v>805</v>
      </c>
      <c r="D229" s="339">
        <f t="shared" si="55"/>
        <v>5.43</v>
      </c>
      <c r="E229" s="340">
        <f aca="true" t="shared" si="58" ref="E229:K229">SUM(E230:E234)</f>
        <v>0</v>
      </c>
      <c r="F229" s="340">
        <f t="shared" si="58"/>
        <v>5.43</v>
      </c>
      <c r="G229" s="340">
        <f t="shared" si="58"/>
        <v>0</v>
      </c>
      <c r="H229" s="340">
        <f t="shared" si="58"/>
        <v>0</v>
      </c>
      <c r="I229" s="340">
        <f t="shared" si="58"/>
        <v>0</v>
      </c>
      <c r="J229" s="340">
        <f t="shared" si="58"/>
        <v>0</v>
      </c>
      <c r="K229" s="340">
        <f t="shared" si="58"/>
        <v>0</v>
      </c>
    </row>
    <row r="230" spans="1:11" s="316" customFormat="1" ht="12.75" customHeight="1">
      <c r="A230" s="475"/>
      <c r="B230" s="477"/>
      <c r="C230" s="338" t="s">
        <v>770</v>
      </c>
      <c r="D230" s="339">
        <f t="shared" si="55"/>
        <v>1.6285</v>
      </c>
      <c r="E230" s="339"/>
      <c r="F230" s="339">
        <f>0.7405+0.888</f>
        <v>1.6285</v>
      </c>
      <c r="G230" s="339"/>
      <c r="H230" s="339"/>
      <c r="I230" s="339"/>
      <c r="J230" s="339"/>
      <c r="K230" s="339"/>
    </row>
    <row r="231" spans="1:11" s="316" customFormat="1" ht="12.75" customHeight="1">
      <c r="A231" s="475"/>
      <c r="B231" s="477"/>
      <c r="C231" s="338" t="s">
        <v>771</v>
      </c>
      <c r="D231" s="339">
        <f t="shared" si="55"/>
        <v>1.9005</v>
      </c>
      <c r="E231" s="339"/>
      <c r="F231" s="339">
        <f>0.8645+1.036</f>
        <v>1.9005</v>
      </c>
      <c r="G231" s="339"/>
      <c r="H231" s="339"/>
      <c r="I231" s="339"/>
      <c r="J231" s="339"/>
      <c r="K231" s="339"/>
    </row>
    <row r="232" spans="1:11" s="316" customFormat="1" ht="12.75" customHeight="1">
      <c r="A232" s="475"/>
      <c r="B232" s="477"/>
      <c r="C232" s="338" t="s">
        <v>772</v>
      </c>
      <c r="D232" s="339">
        <f t="shared" si="55"/>
        <v>0</v>
      </c>
      <c r="E232" s="339"/>
      <c r="F232" s="339"/>
      <c r="G232" s="339"/>
      <c r="H232" s="339"/>
      <c r="I232" s="339"/>
      <c r="J232" s="339"/>
      <c r="K232" s="339"/>
    </row>
    <row r="233" spans="1:11" s="316" customFormat="1" ht="12.75" customHeight="1">
      <c r="A233" s="475"/>
      <c r="B233" s="477"/>
      <c r="C233" s="338" t="s">
        <v>773</v>
      </c>
      <c r="D233" s="339">
        <f t="shared" si="55"/>
        <v>0.815</v>
      </c>
      <c r="E233" s="339"/>
      <c r="F233" s="339">
        <f>0.371+0.444</f>
        <v>0.815</v>
      </c>
      <c r="G233" s="339"/>
      <c r="H233" s="339"/>
      <c r="I233" s="339"/>
      <c r="J233" s="339"/>
      <c r="K233" s="339"/>
    </row>
    <row r="234" spans="1:11" s="316" customFormat="1" ht="12.75" customHeight="1">
      <c r="A234" s="475"/>
      <c r="B234" s="477"/>
      <c r="C234" s="338" t="s">
        <v>774</v>
      </c>
      <c r="D234" s="339">
        <f t="shared" si="55"/>
        <v>1.0859999999999999</v>
      </c>
      <c r="E234" s="339"/>
      <c r="F234" s="339">
        <f>0.494+0.592</f>
        <v>1.0859999999999999</v>
      </c>
      <c r="G234" s="339"/>
      <c r="H234" s="339"/>
      <c r="I234" s="339"/>
      <c r="J234" s="339"/>
      <c r="K234" s="339"/>
    </row>
    <row r="235" spans="1:11" s="316" customFormat="1" ht="26.25" customHeight="1">
      <c r="A235" s="474" t="s">
        <v>857</v>
      </c>
      <c r="B235" s="476" t="s">
        <v>464</v>
      </c>
      <c r="C235" s="337" t="s">
        <v>805</v>
      </c>
      <c r="D235" s="339">
        <f t="shared" si="55"/>
        <v>10.35</v>
      </c>
      <c r="E235" s="340">
        <f aca="true" t="shared" si="59" ref="E235:K235">SUM(E236:E240)</f>
        <v>0</v>
      </c>
      <c r="F235" s="340">
        <f t="shared" si="59"/>
        <v>1.98</v>
      </c>
      <c r="G235" s="340">
        <f t="shared" si="59"/>
        <v>8.37</v>
      </c>
      <c r="H235" s="340">
        <f t="shared" si="59"/>
        <v>0</v>
      </c>
      <c r="I235" s="340">
        <f t="shared" si="59"/>
        <v>0</v>
      </c>
      <c r="J235" s="340">
        <f t="shared" si="59"/>
        <v>0</v>
      </c>
      <c r="K235" s="340">
        <f t="shared" si="59"/>
        <v>0</v>
      </c>
    </row>
    <row r="236" spans="1:11" s="316" customFormat="1" ht="12.75" customHeight="1">
      <c r="A236" s="475"/>
      <c r="B236" s="477"/>
      <c r="C236" s="338" t="s">
        <v>770</v>
      </c>
      <c r="D236" s="339">
        <f t="shared" si="55"/>
        <v>3.1045</v>
      </c>
      <c r="E236" s="339"/>
      <c r="F236" s="339">
        <v>0.594</v>
      </c>
      <c r="G236" s="339">
        <v>2.5105</v>
      </c>
      <c r="H236" s="339"/>
      <c r="I236" s="339"/>
      <c r="J236" s="339"/>
      <c r="K236" s="339"/>
    </row>
    <row r="237" spans="1:11" s="316" customFormat="1" ht="12.75" customHeight="1">
      <c r="A237" s="475"/>
      <c r="B237" s="477"/>
      <c r="C237" s="338" t="s">
        <v>771</v>
      </c>
      <c r="D237" s="339">
        <f t="shared" si="55"/>
        <v>3.6225</v>
      </c>
      <c r="E237" s="339"/>
      <c r="F237" s="339">
        <v>0.693</v>
      </c>
      <c r="G237" s="339">
        <v>2.9295</v>
      </c>
      <c r="H237" s="339"/>
      <c r="I237" s="339"/>
      <c r="J237" s="339"/>
      <c r="K237" s="339"/>
    </row>
    <row r="238" spans="1:11" s="316" customFormat="1" ht="12.75" customHeight="1">
      <c r="A238" s="475"/>
      <c r="B238" s="477"/>
      <c r="C238" s="338" t="s">
        <v>772</v>
      </c>
      <c r="D238" s="339">
        <f t="shared" si="55"/>
        <v>0</v>
      </c>
      <c r="E238" s="339"/>
      <c r="F238" s="339"/>
      <c r="G238" s="339"/>
      <c r="H238" s="339"/>
      <c r="I238" s="339"/>
      <c r="J238" s="339"/>
      <c r="K238" s="339"/>
    </row>
    <row r="239" spans="1:11" s="316" customFormat="1" ht="12.75" customHeight="1">
      <c r="A239" s="475"/>
      <c r="B239" s="477"/>
      <c r="C239" s="338" t="s">
        <v>773</v>
      </c>
      <c r="D239" s="339">
        <f t="shared" si="55"/>
        <v>1.553</v>
      </c>
      <c r="E239" s="339"/>
      <c r="F239" s="339">
        <v>0.297</v>
      </c>
      <c r="G239" s="339">
        <v>1.256</v>
      </c>
      <c r="H239" s="339"/>
      <c r="I239" s="339"/>
      <c r="J239" s="339"/>
      <c r="K239" s="339"/>
    </row>
    <row r="240" spans="1:11" s="316" customFormat="1" ht="12.75" customHeight="1">
      <c r="A240" s="475"/>
      <c r="B240" s="477"/>
      <c r="C240" s="338" t="s">
        <v>774</v>
      </c>
      <c r="D240" s="339">
        <f t="shared" si="55"/>
        <v>2.07</v>
      </c>
      <c r="E240" s="339"/>
      <c r="F240" s="339">
        <v>0.396</v>
      </c>
      <c r="G240" s="339">
        <v>1.674</v>
      </c>
      <c r="H240" s="339"/>
      <c r="I240" s="339"/>
      <c r="J240" s="339"/>
      <c r="K240" s="339"/>
    </row>
    <row r="241" spans="1:11" s="316" customFormat="1" ht="12.75" customHeight="1">
      <c r="A241" s="482"/>
      <c r="B241" s="483"/>
      <c r="C241" s="338" t="s">
        <v>774</v>
      </c>
      <c r="D241" s="339">
        <f t="shared" si="55"/>
        <v>0</v>
      </c>
      <c r="E241" s="339"/>
      <c r="F241" s="339"/>
      <c r="G241" s="339"/>
      <c r="H241" s="339"/>
      <c r="I241" s="339"/>
      <c r="J241" s="339"/>
      <c r="K241" s="339"/>
    </row>
    <row r="242" spans="1:11" s="316" customFormat="1" ht="26.25" customHeight="1">
      <c r="A242" s="474" t="s">
        <v>858</v>
      </c>
      <c r="B242" s="476" t="s">
        <v>465</v>
      </c>
      <c r="C242" s="337" t="s">
        <v>805</v>
      </c>
      <c r="D242" s="339">
        <f t="shared" si="55"/>
        <v>1.96</v>
      </c>
      <c r="E242" s="340">
        <f aca="true" t="shared" si="60" ref="E242:K242">SUM(E243:E247)</f>
        <v>0</v>
      </c>
      <c r="F242" s="340">
        <f t="shared" si="60"/>
        <v>1.96</v>
      </c>
      <c r="G242" s="340">
        <f t="shared" si="60"/>
        <v>0</v>
      </c>
      <c r="H242" s="340">
        <f t="shared" si="60"/>
        <v>0</v>
      </c>
      <c r="I242" s="340">
        <f t="shared" si="60"/>
        <v>0</v>
      </c>
      <c r="J242" s="340">
        <f t="shared" si="60"/>
        <v>0</v>
      </c>
      <c r="K242" s="340">
        <f t="shared" si="60"/>
        <v>0</v>
      </c>
    </row>
    <row r="243" spans="1:11" s="316" customFormat="1" ht="12.75" customHeight="1">
      <c r="A243" s="475"/>
      <c r="B243" s="477"/>
      <c r="C243" s="338" t="s">
        <v>770</v>
      </c>
      <c r="D243" s="339">
        <f t="shared" si="55"/>
        <v>0.588</v>
      </c>
      <c r="E243" s="339"/>
      <c r="F243" s="339">
        <v>0.588</v>
      </c>
      <c r="G243" s="339"/>
      <c r="H243" s="339"/>
      <c r="I243" s="339"/>
      <c r="J243" s="339"/>
      <c r="K243" s="339"/>
    </row>
    <row r="244" spans="1:11" s="316" customFormat="1" ht="12.75" customHeight="1">
      <c r="A244" s="475"/>
      <c r="B244" s="477"/>
      <c r="C244" s="338" t="s">
        <v>771</v>
      </c>
      <c r="D244" s="339">
        <f t="shared" si="55"/>
        <v>0.686</v>
      </c>
      <c r="E244" s="339"/>
      <c r="F244" s="339">
        <v>0.686</v>
      </c>
      <c r="G244" s="339"/>
      <c r="H244" s="339"/>
      <c r="I244" s="339"/>
      <c r="J244" s="339"/>
      <c r="K244" s="339"/>
    </row>
    <row r="245" spans="1:11" s="316" customFormat="1" ht="12.75" customHeight="1">
      <c r="A245" s="475"/>
      <c r="B245" s="477"/>
      <c r="C245" s="338" t="s">
        <v>772</v>
      </c>
      <c r="D245" s="339">
        <f t="shared" si="55"/>
        <v>0</v>
      </c>
      <c r="E245" s="339"/>
      <c r="F245" s="339"/>
      <c r="G245" s="339"/>
      <c r="H245" s="339"/>
      <c r="I245" s="339"/>
      <c r="J245" s="339"/>
      <c r="K245" s="339"/>
    </row>
    <row r="246" spans="1:11" s="316" customFormat="1" ht="12.75" customHeight="1">
      <c r="A246" s="475"/>
      <c r="B246" s="477"/>
      <c r="C246" s="338" t="s">
        <v>773</v>
      </c>
      <c r="D246" s="339">
        <f t="shared" si="55"/>
        <v>0.294</v>
      </c>
      <c r="E246" s="339"/>
      <c r="F246" s="339">
        <v>0.294</v>
      </c>
      <c r="G246" s="339"/>
      <c r="H246" s="339"/>
      <c r="I246" s="339"/>
      <c r="J246" s="339"/>
      <c r="K246" s="339"/>
    </row>
    <row r="247" spans="1:11" s="316" customFormat="1" ht="12.75" customHeight="1">
      <c r="A247" s="475"/>
      <c r="B247" s="477"/>
      <c r="C247" s="338" t="s">
        <v>774</v>
      </c>
      <c r="D247" s="339">
        <f t="shared" si="55"/>
        <v>0.392</v>
      </c>
      <c r="E247" s="339"/>
      <c r="F247" s="339">
        <v>0.392</v>
      </c>
      <c r="G247" s="339"/>
      <c r="H247" s="339"/>
      <c r="I247" s="339"/>
      <c r="J247" s="339"/>
      <c r="K247" s="339"/>
    </row>
    <row r="248" spans="1:11" s="316" customFormat="1" ht="26.25" customHeight="1">
      <c r="A248" s="474" t="s">
        <v>859</v>
      </c>
      <c r="B248" s="476" t="s">
        <v>466</v>
      </c>
      <c r="C248" s="337" t="s">
        <v>805</v>
      </c>
      <c r="D248" s="339">
        <f aca="true" t="shared" si="61" ref="D248:D265">SUM(E248:K248)</f>
        <v>2.17</v>
      </c>
      <c r="E248" s="340">
        <f aca="true" t="shared" si="62" ref="E248:K248">SUM(E249:E253)</f>
        <v>0</v>
      </c>
      <c r="F248" s="340">
        <f t="shared" si="62"/>
        <v>2.17</v>
      </c>
      <c r="G248" s="340">
        <f t="shared" si="62"/>
        <v>0</v>
      </c>
      <c r="H248" s="340">
        <f t="shared" si="62"/>
        <v>0</v>
      </c>
      <c r="I248" s="340">
        <f t="shared" si="62"/>
        <v>0</v>
      </c>
      <c r="J248" s="340">
        <f t="shared" si="62"/>
        <v>0</v>
      </c>
      <c r="K248" s="340">
        <f t="shared" si="62"/>
        <v>0</v>
      </c>
    </row>
    <row r="249" spans="1:11" s="316" customFormat="1" ht="12.75" customHeight="1">
      <c r="A249" s="475"/>
      <c r="B249" s="477"/>
      <c r="C249" s="338" t="s">
        <v>770</v>
      </c>
      <c r="D249" s="339">
        <f t="shared" si="61"/>
        <v>0.6505</v>
      </c>
      <c r="E249" s="339"/>
      <c r="F249" s="339">
        <v>0.6505</v>
      </c>
      <c r="G249" s="339"/>
      <c r="H249" s="339"/>
      <c r="I249" s="339"/>
      <c r="J249" s="339"/>
      <c r="K249" s="339"/>
    </row>
    <row r="250" spans="1:11" s="316" customFormat="1" ht="12.75" customHeight="1">
      <c r="A250" s="475"/>
      <c r="B250" s="477"/>
      <c r="C250" s="338" t="s">
        <v>771</v>
      </c>
      <c r="D250" s="339">
        <f t="shared" si="61"/>
        <v>0.7595</v>
      </c>
      <c r="E250" s="339"/>
      <c r="F250" s="339">
        <v>0.7595</v>
      </c>
      <c r="G250" s="339"/>
      <c r="H250" s="339"/>
      <c r="I250" s="339"/>
      <c r="J250" s="339"/>
      <c r="K250" s="339"/>
    </row>
    <row r="251" spans="1:11" s="316" customFormat="1" ht="12.75" customHeight="1">
      <c r="A251" s="475"/>
      <c r="B251" s="477"/>
      <c r="C251" s="338" t="s">
        <v>772</v>
      </c>
      <c r="D251" s="339">
        <f t="shared" si="61"/>
        <v>0</v>
      </c>
      <c r="E251" s="339"/>
      <c r="F251" s="339"/>
      <c r="G251" s="339"/>
      <c r="H251" s="339"/>
      <c r="I251" s="339"/>
      <c r="J251" s="339"/>
      <c r="K251" s="339"/>
    </row>
    <row r="252" spans="1:11" s="316" customFormat="1" ht="12.75" customHeight="1">
      <c r="A252" s="475"/>
      <c r="B252" s="477"/>
      <c r="C252" s="338" t="s">
        <v>773</v>
      </c>
      <c r="D252" s="339">
        <f t="shared" si="61"/>
        <v>0.326</v>
      </c>
      <c r="E252" s="339"/>
      <c r="F252" s="339">
        <v>0.326</v>
      </c>
      <c r="G252" s="339"/>
      <c r="H252" s="339"/>
      <c r="I252" s="339"/>
      <c r="J252" s="339"/>
      <c r="K252" s="339"/>
    </row>
    <row r="253" spans="1:11" s="316" customFormat="1" ht="12.75" customHeight="1">
      <c r="A253" s="475"/>
      <c r="B253" s="477"/>
      <c r="C253" s="338" t="s">
        <v>774</v>
      </c>
      <c r="D253" s="339">
        <f t="shared" si="61"/>
        <v>0.434</v>
      </c>
      <c r="E253" s="339"/>
      <c r="F253" s="339">
        <v>0.434</v>
      </c>
      <c r="G253" s="339"/>
      <c r="H253" s="339"/>
      <c r="I253" s="339"/>
      <c r="J253" s="339"/>
      <c r="K253" s="339"/>
    </row>
    <row r="254" spans="1:11" s="316" customFormat="1" ht="26.25" customHeight="1">
      <c r="A254" s="474" t="s">
        <v>859</v>
      </c>
      <c r="B254" s="476" t="s">
        <v>467</v>
      </c>
      <c r="C254" s="337" t="s">
        <v>805</v>
      </c>
      <c r="D254" s="339">
        <f t="shared" si="61"/>
        <v>1.09</v>
      </c>
      <c r="E254" s="340">
        <f aca="true" t="shared" si="63" ref="E254:K254">SUM(E255:E259)</f>
        <v>0</v>
      </c>
      <c r="F254" s="340">
        <f t="shared" si="63"/>
        <v>1.09</v>
      </c>
      <c r="G254" s="340">
        <f t="shared" si="63"/>
        <v>0</v>
      </c>
      <c r="H254" s="340">
        <f t="shared" si="63"/>
        <v>0</v>
      </c>
      <c r="I254" s="340">
        <f t="shared" si="63"/>
        <v>0</v>
      </c>
      <c r="J254" s="340">
        <f t="shared" si="63"/>
        <v>0</v>
      </c>
      <c r="K254" s="340">
        <f t="shared" si="63"/>
        <v>0</v>
      </c>
    </row>
    <row r="255" spans="1:11" s="316" customFormat="1" ht="12.75" customHeight="1">
      <c r="A255" s="475"/>
      <c r="B255" s="477"/>
      <c r="C255" s="338" t="s">
        <v>770</v>
      </c>
      <c r="D255" s="339">
        <f t="shared" si="61"/>
        <v>0.3265</v>
      </c>
      <c r="E255" s="339"/>
      <c r="F255" s="339">
        <v>0.3265</v>
      </c>
      <c r="G255" s="339"/>
      <c r="H255" s="339"/>
      <c r="I255" s="339"/>
      <c r="J255" s="339"/>
      <c r="K255" s="339"/>
    </row>
    <row r="256" spans="1:11" s="316" customFormat="1" ht="12.75" customHeight="1">
      <c r="A256" s="475"/>
      <c r="B256" s="477"/>
      <c r="C256" s="338" t="s">
        <v>771</v>
      </c>
      <c r="D256" s="339">
        <f t="shared" si="61"/>
        <v>0.3815</v>
      </c>
      <c r="E256" s="339"/>
      <c r="F256" s="339">
        <v>0.3815</v>
      </c>
      <c r="G256" s="339"/>
      <c r="H256" s="339"/>
      <c r="I256" s="339"/>
      <c r="J256" s="339"/>
      <c r="K256" s="339"/>
    </row>
    <row r="257" spans="1:11" s="316" customFormat="1" ht="12.75" customHeight="1">
      <c r="A257" s="475"/>
      <c r="B257" s="477"/>
      <c r="C257" s="338" t="s">
        <v>772</v>
      </c>
      <c r="D257" s="339">
        <f t="shared" si="61"/>
        <v>0</v>
      </c>
      <c r="E257" s="339"/>
      <c r="F257" s="339"/>
      <c r="G257" s="339"/>
      <c r="H257" s="339"/>
      <c r="I257" s="339"/>
      <c r="J257" s="339"/>
      <c r="K257" s="339"/>
    </row>
    <row r="258" spans="1:13" s="316" customFormat="1" ht="12.75" customHeight="1">
      <c r="A258" s="475"/>
      <c r="B258" s="477"/>
      <c r="C258" s="338" t="s">
        <v>773</v>
      </c>
      <c r="D258" s="339">
        <f t="shared" si="61"/>
        <v>0.164</v>
      </c>
      <c r="E258" s="339"/>
      <c r="F258" s="339">
        <v>0.164</v>
      </c>
      <c r="G258" s="339"/>
      <c r="H258" s="339"/>
      <c r="I258" s="339"/>
      <c r="J258" s="339"/>
      <c r="K258" s="339"/>
      <c r="M258" s="316" t="s">
        <v>3</v>
      </c>
    </row>
    <row r="259" spans="1:11" s="316" customFormat="1" ht="12.75" customHeight="1">
      <c r="A259" s="475"/>
      <c r="B259" s="477"/>
      <c r="C259" s="338" t="s">
        <v>774</v>
      </c>
      <c r="D259" s="339">
        <f t="shared" si="61"/>
        <v>0.218</v>
      </c>
      <c r="E259" s="339"/>
      <c r="F259" s="339">
        <v>0.218</v>
      </c>
      <c r="G259" s="339"/>
      <c r="H259" s="339"/>
      <c r="I259" s="339"/>
      <c r="J259" s="339"/>
      <c r="K259" s="339"/>
    </row>
    <row r="260" spans="1:11" ht="25.5" customHeight="1">
      <c r="A260" s="478">
        <v>8</v>
      </c>
      <c r="B260" s="479" t="s">
        <v>860</v>
      </c>
      <c r="C260" s="333" t="s">
        <v>805</v>
      </c>
      <c r="D260" s="345">
        <f t="shared" si="61"/>
        <v>281.05363</v>
      </c>
      <c r="E260" s="345">
        <f>E261+E262+E263+E264+E265</f>
        <v>8.033629999999999</v>
      </c>
      <c r="F260" s="345">
        <f aca="true" t="shared" si="64" ref="F260:K260">F261+F262+F263+F264+F265</f>
        <v>83.64</v>
      </c>
      <c r="G260" s="345">
        <f t="shared" si="64"/>
        <v>69.92</v>
      </c>
      <c r="H260" s="345">
        <f t="shared" si="64"/>
        <v>71.64</v>
      </c>
      <c r="I260" s="345">
        <f t="shared" si="64"/>
        <v>40.47</v>
      </c>
      <c r="J260" s="345">
        <f t="shared" si="64"/>
        <v>7.35</v>
      </c>
      <c r="K260" s="345">
        <f t="shared" si="64"/>
        <v>0</v>
      </c>
    </row>
    <row r="261" spans="1:11" ht="12.75" customHeight="1">
      <c r="A261" s="478"/>
      <c r="B261" s="480"/>
      <c r="C261" s="335" t="s">
        <v>770</v>
      </c>
      <c r="D261" s="346">
        <f t="shared" si="61"/>
        <v>84.3138</v>
      </c>
      <c r="E261" s="346">
        <f aca="true" t="shared" si="65" ref="E261:K265">E268+E274+E280+E286+E292+E298+E304+E310+E316+E322</f>
        <v>2.4103</v>
      </c>
      <c r="F261" s="346">
        <f t="shared" si="65"/>
        <v>25.091</v>
      </c>
      <c r="G261" s="346">
        <f t="shared" si="65"/>
        <v>20.976</v>
      </c>
      <c r="H261" s="346">
        <f t="shared" si="65"/>
        <v>21.491</v>
      </c>
      <c r="I261" s="346">
        <f t="shared" si="65"/>
        <v>12.1405</v>
      </c>
      <c r="J261" s="346">
        <f t="shared" si="65"/>
        <v>2.205</v>
      </c>
      <c r="K261" s="346">
        <f t="shared" si="65"/>
        <v>0</v>
      </c>
    </row>
    <row r="262" spans="1:11" ht="12.75" customHeight="1">
      <c r="A262" s="478"/>
      <c r="B262" s="480"/>
      <c r="C262" s="335" t="s">
        <v>771</v>
      </c>
      <c r="D262" s="346">
        <f t="shared" si="61"/>
        <v>126.4745</v>
      </c>
      <c r="E262" s="346">
        <f t="shared" si="65"/>
        <v>3.615</v>
      </c>
      <c r="F262" s="346">
        <f t="shared" si="65"/>
        <v>37.638</v>
      </c>
      <c r="G262" s="346">
        <f t="shared" si="65"/>
        <v>31.464000000000002</v>
      </c>
      <c r="H262" s="346">
        <f t="shared" si="65"/>
        <v>32.238</v>
      </c>
      <c r="I262" s="346">
        <f t="shared" si="65"/>
        <v>18.2115</v>
      </c>
      <c r="J262" s="346">
        <f t="shared" si="65"/>
        <v>3.308</v>
      </c>
      <c r="K262" s="346">
        <f t="shared" si="65"/>
        <v>0</v>
      </c>
    </row>
    <row r="263" spans="1:11" ht="12.75" customHeight="1">
      <c r="A263" s="478"/>
      <c r="B263" s="480"/>
      <c r="C263" s="335" t="s">
        <v>772</v>
      </c>
      <c r="D263" s="346">
        <f t="shared" si="61"/>
        <v>0</v>
      </c>
      <c r="E263" s="346">
        <f t="shared" si="65"/>
        <v>0</v>
      </c>
      <c r="F263" s="346">
        <f t="shared" si="65"/>
        <v>0</v>
      </c>
      <c r="G263" s="346">
        <f t="shared" si="65"/>
        <v>0</v>
      </c>
      <c r="H263" s="346">
        <f t="shared" si="65"/>
        <v>0</v>
      </c>
      <c r="I263" s="346">
        <f t="shared" si="65"/>
        <v>0</v>
      </c>
      <c r="J263" s="346">
        <f t="shared" si="65"/>
        <v>0</v>
      </c>
      <c r="K263" s="346">
        <f t="shared" si="65"/>
        <v>0</v>
      </c>
    </row>
    <row r="264" spans="1:11" ht="12.75" customHeight="1">
      <c r="A264" s="478"/>
      <c r="B264" s="480"/>
      <c r="C264" s="335" t="s">
        <v>773</v>
      </c>
      <c r="D264" s="346">
        <f t="shared" si="61"/>
        <v>42.16053</v>
      </c>
      <c r="E264" s="346">
        <f t="shared" si="65"/>
        <v>1.20503</v>
      </c>
      <c r="F264" s="346">
        <f t="shared" si="65"/>
        <v>12.547</v>
      </c>
      <c r="G264" s="346">
        <f t="shared" si="65"/>
        <v>10.488</v>
      </c>
      <c r="H264" s="346">
        <f t="shared" si="65"/>
        <v>10.747</v>
      </c>
      <c r="I264" s="346">
        <f t="shared" si="65"/>
        <v>6.071</v>
      </c>
      <c r="J264" s="346">
        <f t="shared" si="65"/>
        <v>1.1025</v>
      </c>
      <c r="K264" s="346">
        <f t="shared" si="65"/>
        <v>0</v>
      </c>
    </row>
    <row r="265" spans="1:11" ht="12.75" customHeight="1">
      <c r="A265" s="478"/>
      <c r="B265" s="481"/>
      <c r="C265" s="335" t="s">
        <v>774</v>
      </c>
      <c r="D265" s="346">
        <f t="shared" si="61"/>
        <v>28.104800000000004</v>
      </c>
      <c r="E265" s="346">
        <f t="shared" si="65"/>
        <v>0.8033</v>
      </c>
      <c r="F265" s="346">
        <f t="shared" si="65"/>
        <v>8.364</v>
      </c>
      <c r="G265" s="346">
        <f t="shared" si="65"/>
        <v>6.992</v>
      </c>
      <c r="H265" s="346">
        <f t="shared" si="65"/>
        <v>7.164</v>
      </c>
      <c r="I265" s="346">
        <f t="shared" si="65"/>
        <v>4.047000000000001</v>
      </c>
      <c r="J265" s="346">
        <f t="shared" si="65"/>
        <v>0.7345</v>
      </c>
      <c r="K265" s="346">
        <f t="shared" si="65"/>
        <v>0</v>
      </c>
    </row>
    <row r="266" spans="1:11" ht="24" customHeight="1">
      <c r="A266" s="337"/>
      <c r="B266" s="333" t="s">
        <v>702</v>
      </c>
      <c r="C266" s="335"/>
      <c r="D266" s="340"/>
      <c r="E266" s="340"/>
      <c r="F266" s="340"/>
      <c r="G266" s="340"/>
      <c r="H266" s="340"/>
      <c r="I266" s="340"/>
      <c r="J266" s="340"/>
      <c r="K266" s="340"/>
    </row>
    <row r="267" spans="1:14" s="316" customFormat="1" ht="26.25" customHeight="1">
      <c r="A267" s="474" t="s">
        <v>861</v>
      </c>
      <c r="B267" s="476" t="s">
        <v>457</v>
      </c>
      <c r="C267" s="337" t="s">
        <v>805</v>
      </c>
      <c r="D267" s="339">
        <f aca="true" t="shared" si="66" ref="D267:D272">SUM(E267:K267)</f>
        <v>40.47</v>
      </c>
      <c r="E267" s="340">
        <f aca="true" t="shared" si="67" ref="E267:K267">SUM(E268:E272)</f>
        <v>0</v>
      </c>
      <c r="F267" s="340">
        <f t="shared" si="67"/>
        <v>0</v>
      </c>
      <c r="G267" s="340">
        <f t="shared" si="67"/>
        <v>0</v>
      </c>
      <c r="H267" s="340">
        <f t="shared" si="67"/>
        <v>12.14</v>
      </c>
      <c r="I267" s="340">
        <f t="shared" si="67"/>
        <v>28.33</v>
      </c>
      <c r="J267" s="340">
        <f t="shared" si="67"/>
        <v>0</v>
      </c>
      <c r="K267" s="340">
        <f t="shared" si="67"/>
        <v>0</v>
      </c>
      <c r="N267" s="316" t="s">
        <v>3</v>
      </c>
    </row>
    <row r="268" spans="1:11" s="316" customFormat="1" ht="12.75" customHeight="1">
      <c r="A268" s="475"/>
      <c r="B268" s="477"/>
      <c r="C268" s="338" t="s">
        <v>770</v>
      </c>
      <c r="D268" s="339">
        <f t="shared" si="66"/>
        <v>12.1405</v>
      </c>
      <c r="E268" s="339"/>
      <c r="F268" s="339"/>
      <c r="G268" s="339"/>
      <c r="H268" s="339">
        <v>3.642</v>
      </c>
      <c r="I268" s="339">
        <v>8.4985</v>
      </c>
      <c r="J268" s="339"/>
      <c r="K268" s="339"/>
    </row>
    <row r="269" spans="1:11" s="316" customFormat="1" ht="12.75" customHeight="1">
      <c r="A269" s="475"/>
      <c r="B269" s="477"/>
      <c r="C269" s="338" t="s">
        <v>771</v>
      </c>
      <c r="D269" s="339">
        <f t="shared" si="66"/>
        <v>18.2115</v>
      </c>
      <c r="E269" s="339"/>
      <c r="F269" s="339"/>
      <c r="G269" s="339"/>
      <c r="H269" s="339">
        <v>5.463</v>
      </c>
      <c r="I269" s="339">
        <v>12.7485</v>
      </c>
      <c r="J269" s="339"/>
      <c r="K269" s="339"/>
    </row>
    <row r="270" spans="1:11" s="316" customFormat="1" ht="12.75" customHeight="1">
      <c r="A270" s="475"/>
      <c r="B270" s="477"/>
      <c r="C270" s="338" t="s">
        <v>772</v>
      </c>
      <c r="D270" s="339">
        <f t="shared" si="66"/>
        <v>0</v>
      </c>
      <c r="E270" s="339"/>
      <c r="F270" s="339"/>
      <c r="G270" s="339"/>
      <c r="H270" s="339"/>
      <c r="I270" s="339"/>
      <c r="J270" s="339"/>
      <c r="K270" s="339"/>
    </row>
    <row r="271" spans="1:11" s="316" customFormat="1" ht="12.75" customHeight="1">
      <c r="A271" s="475"/>
      <c r="B271" s="477"/>
      <c r="C271" s="338" t="s">
        <v>773</v>
      </c>
      <c r="D271" s="339">
        <f t="shared" si="66"/>
        <v>6.071</v>
      </c>
      <c r="E271" s="339"/>
      <c r="F271" s="339"/>
      <c r="G271" s="339"/>
      <c r="H271" s="339">
        <v>1.821</v>
      </c>
      <c r="I271" s="339">
        <v>4.25</v>
      </c>
      <c r="J271" s="339"/>
      <c r="K271" s="339"/>
    </row>
    <row r="272" spans="1:11" s="316" customFormat="1" ht="12.75" customHeight="1">
      <c r="A272" s="475"/>
      <c r="B272" s="477"/>
      <c r="C272" s="338" t="s">
        <v>774</v>
      </c>
      <c r="D272" s="339">
        <f t="shared" si="66"/>
        <v>4.047000000000001</v>
      </c>
      <c r="E272" s="339"/>
      <c r="F272" s="339"/>
      <c r="G272" s="339"/>
      <c r="H272" s="339">
        <v>1.214</v>
      </c>
      <c r="I272" s="339">
        <v>2.833</v>
      </c>
      <c r="J272" s="339"/>
      <c r="K272" s="339"/>
    </row>
    <row r="273" spans="1:11" s="316" customFormat="1" ht="26.25" customHeight="1">
      <c r="A273" s="474" t="s">
        <v>862</v>
      </c>
      <c r="B273" s="476" t="s">
        <v>459</v>
      </c>
      <c r="C273" s="337" t="s">
        <v>805</v>
      </c>
      <c r="D273" s="339">
        <f aca="true" t="shared" si="68" ref="D273:D296">SUM(E273:K273)</f>
        <v>10.04</v>
      </c>
      <c r="E273" s="340">
        <f aca="true" t="shared" si="69" ref="E273:K273">SUM(E274:E278)</f>
        <v>0</v>
      </c>
      <c r="F273" s="340">
        <f t="shared" si="69"/>
        <v>10.04</v>
      </c>
      <c r="G273" s="340">
        <f t="shared" si="69"/>
        <v>0</v>
      </c>
      <c r="H273" s="340">
        <f t="shared" si="69"/>
        <v>0</v>
      </c>
      <c r="I273" s="340">
        <f t="shared" si="69"/>
        <v>0</v>
      </c>
      <c r="J273" s="340">
        <f t="shared" si="69"/>
        <v>0</v>
      </c>
      <c r="K273" s="340">
        <f t="shared" si="69"/>
        <v>0</v>
      </c>
    </row>
    <row r="274" spans="1:11" s="316" customFormat="1" ht="12.75" customHeight="1">
      <c r="A274" s="475"/>
      <c r="B274" s="477"/>
      <c r="C274" s="338" t="s">
        <v>770</v>
      </c>
      <c r="D274" s="339">
        <f t="shared" si="68"/>
        <v>3.012</v>
      </c>
      <c r="E274" s="339"/>
      <c r="F274" s="339">
        <v>3.012</v>
      </c>
      <c r="G274" s="339"/>
      <c r="H274" s="339"/>
      <c r="I274" s="339"/>
      <c r="J274" s="339"/>
      <c r="K274" s="339"/>
    </row>
    <row r="275" spans="1:11" s="316" customFormat="1" ht="12.75" customHeight="1">
      <c r="A275" s="475"/>
      <c r="B275" s="477"/>
      <c r="C275" s="338" t="s">
        <v>771</v>
      </c>
      <c r="D275" s="339">
        <f t="shared" si="68"/>
        <v>4.518</v>
      </c>
      <c r="E275" s="339"/>
      <c r="F275" s="339">
        <v>4.518</v>
      </c>
      <c r="G275" s="339"/>
      <c r="H275" s="339"/>
      <c r="I275" s="339"/>
      <c r="J275" s="339"/>
      <c r="K275" s="339"/>
    </row>
    <row r="276" spans="1:11" s="316" customFormat="1" ht="12.75" customHeight="1">
      <c r="A276" s="475"/>
      <c r="B276" s="477"/>
      <c r="C276" s="338" t="s">
        <v>772</v>
      </c>
      <c r="D276" s="339">
        <f t="shared" si="68"/>
        <v>0</v>
      </c>
      <c r="E276" s="339"/>
      <c r="F276" s="339"/>
      <c r="G276" s="339"/>
      <c r="H276" s="339"/>
      <c r="I276" s="339"/>
      <c r="J276" s="339"/>
      <c r="K276" s="339"/>
    </row>
    <row r="277" spans="1:11" s="316" customFormat="1" ht="12.75" customHeight="1">
      <c r="A277" s="475"/>
      <c r="B277" s="477"/>
      <c r="C277" s="338" t="s">
        <v>773</v>
      </c>
      <c r="D277" s="339">
        <f t="shared" si="68"/>
        <v>1.506</v>
      </c>
      <c r="E277" s="339"/>
      <c r="F277" s="339">
        <v>1.506</v>
      </c>
      <c r="G277" s="339"/>
      <c r="H277" s="339"/>
      <c r="I277" s="339"/>
      <c r="J277" s="339"/>
      <c r="K277" s="339"/>
    </row>
    <row r="278" spans="1:11" s="316" customFormat="1" ht="12.75" customHeight="1">
      <c r="A278" s="475"/>
      <c r="B278" s="477"/>
      <c r="C278" s="338" t="s">
        <v>774</v>
      </c>
      <c r="D278" s="339">
        <f t="shared" si="68"/>
        <v>1.004</v>
      </c>
      <c r="E278" s="339"/>
      <c r="F278" s="339">
        <v>1.004</v>
      </c>
      <c r="G278" s="339"/>
      <c r="H278" s="339"/>
      <c r="I278" s="339"/>
      <c r="J278" s="339"/>
      <c r="K278" s="339"/>
    </row>
    <row r="279" spans="1:11" s="316" customFormat="1" ht="26.25" customHeight="1">
      <c r="A279" s="474" t="s">
        <v>863</v>
      </c>
      <c r="B279" s="476" t="s">
        <v>460</v>
      </c>
      <c r="C279" s="337" t="s">
        <v>805</v>
      </c>
      <c r="D279" s="339">
        <f t="shared" si="68"/>
        <v>20.240000000000002</v>
      </c>
      <c r="E279" s="340">
        <f aca="true" t="shared" si="70" ref="E279:K279">SUM(E280:E284)</f>
        <v>0</v>
      </c>
      <c r="F279" s="340">
        <f t="shared" si="70"/>
        <v>0</v>
      </c>
      <c r="G279" s="340">
        <f t="shared" si="70"/>
        <v>20.240000000000002</v>
      </c>
      <c r="H279" s="340">
        <f t="shared" si="70"/>
        <v>0</v>
      </c>
      <c r="I279" s="340">
        <f t="shared" si="70"/>
        <v>0</v>
      </c>
      <c r="J279" s="340">
        <f t="shared" si="70"/>
        <v>0</v>
      </c>
      <c r="K279" s="340">
        <f t="shared" si="70"/>
        <v>0</v>
      </c>
    </row>
    <row r="280" spans="1:11" s="316" customFormat="1" ht="12.75" customHeight="1">
      <c r="A280" s="475"/>
      <c r="B280" s="477"/>
      <c r="C280" s="338" t="s">
        <v>770</v>
      </c>
      <c r="D280" s="339">
        <f t="shared" si="68"/>
        <v>6.071999999999999</v>
      </c>
      <c r="E280" s="339"/>
      <c r="F280" s="339"/>
      <c r="G280" s="339">
        <f>2.76+3.312</f>
        <v>6.071999999999999</v>
      </c>
      <c r="H280" s="339"/>
      <c r="I280" s="339"/>
      <c r="J280" s="339"/>
      <c r="K280" s="339"/>
    </row>
    <row r="281" spans="1:11" s="316" customFormat="1" ht="12.75" customHeight="1">
      <c r="A281" s="475"/>
      <c r="B281" s="477"/>
      <c r="C281" s="338" t="s">
        <v>771</v>
      </c>
      <c r="D281" s="339">
        <f t="shared" si="68"/>
        <v>9.108</v>
      </c>
      <c r="E281" s="339"/>
      <c r="F281" s="339"/>
      <c r="G281" s="339">
        <f>4.14+4.968</f>
        <v>9.108</v>
      </c>
      <c r="H281" s="339"/>
      <c r="I281" s="339"/>
      <c r="J281" s="339"/>
      <c r="K281" s="339"/>
    </row>
    <row r="282" spans="1:11" s="316" customFormat="1" ht="12.75" customHeight="1">
      <c r="A282" s="475"/>
      <c r="B282" s="477"/>
      <c r="C282" s="338" t="s">
        <v>772</v>
      </c>
      <c r="D282" s="339">
        <f t="shared" si="68"/>
        <v>0</v>
      </c>
      <c r="E282" s="339"/>
      <c r="F282" s="339"/>
      <c r="G282" s="339"/>
      <c r="H282" s="339"/>
      <c r="I282" s="339"/>
      <c r="J282" s="339"/>
      <c r="K282" s="339"/>
    </row>
    <row r="283" spans="1:11" s="316" customFormat="1" ht="12.75" customHeight="1">
      <c r="A283" s="475"/>
      <c r="B283" s="477"/>
      <c r="C283" s="338" t="s">
        <v>773</v>
      </c>
      <c r="D283" s="339">
        <f t="shared" si="68"/>
        <v>3.0359999999999996</v>
      </c>
      <c r="E283" s="339"/>
      <c r="F283" s="339"/>
      <c r="G283" s="339">
        <f>1.38+1.656</f>
        <v>3.0359999999999996</v>
      </c>
      <c r="H283" s="339"/>
      <c r="I283" s="339"/>
      <c r="J283" s="339"/>
      <c r="K283" s="339"/>
    </row>
    <row r="284" spans="1:11" s="316" customFormat="1" ht="12.75" customHeight="1">
      <c r="A284" s="475"/>
      <c r="B284" s="477"/>
      <c r="C284" s="338" t="s">
        <v>774</v>
      </c>
      <c r="D284" s="339">
        <f t="shared" si="68"/>
        <v>2.024</v>
      </c>
      <c r="E284" s="339"/>
      <c r="F284" s="339"/>
      <c r="G284" s="339">
        <f>0.92+1.104</f>
        <v>2.024</v>
      </c>
      <c r="H284" s="339"/>
      <c r="I284" s="339"/>
      <c r="J284" s="339"/>
      <c r="K284" s="339"/>
    </row>
    <row r="285" spans="1:11" s="316" customFormat="1" ht="26.25" customHeight="1">
      <c r="A285" s="474" t="s">
        <v>864</v>
      </c>
      <c r="B285" s="476" t="s">
        <v>461</v>
      </c>
      <c r="C285" s="337" t="s">
        <v>805</v>
      </c>
      <c r="D285" s="339">
        <f t="shared" si="68"/>
        <v>10.04</v>
      </c>
      <c r="E285" s="340">
        <f aca="true" t="shared" si="71" ref="E285:K285">SUM(E286:E290)</f>
        <v>0</v>
      </c>
      <c r="F285" s="340">
        <f t="shared" si="71"/>
        <v>10.04</v>
      </c>
      <c r="G285" s="340">
        <f t="shared" si="71"/>
        <v>0</v>
      </c>
      <c r="H285" s="340">
        <f t="shared" si="71"/>
        <v>0</v>
      </c>
      <c r="I285" s="340">
        <f t="shared" si="71"/>
        <v>0</v>
      </c>
      <c r="J285" s="340">
        <f t="shared" si="71"/>
        <v>0</v>
      </c>
      <c r="K285" s="340">
        <f t="shared" si="71"/>
        <v>0</v>
      </c>
    </row>
    <row r="286" spans="1:11" s="316" customFormat="1" ht="12.75" customHeight="1">
      <c r="A286" s="475"/>
      <c r="B286" s="477"/>
      <c r="C286" s="338" t="s">
        <v>770</v>
      </c>
      <c r="D286" s="339">
        <f t="shared" si="68"/>
        <v>3.012</v>
      </c>
      <c r="E286" s="339"/>
      <c r="F286" s="339">
        <v>3.012</v>
      </c>
      <c r="G286" s="339"/>
      <c r="H286" s="339"/>
      <c r="I286" s="339"/>
      <c r="J286" s="339"/>
      <c r="K286" s="339"/>
    </row>
    <row r="287" spans="1:11" s="316" customFormat="1" ht="12.75" customHeight="1">
      <c r="A287" s="475"/>
      <c r="B287" s="477"/>
      <c r="C287" s="338" t="s">
        <v>771</v>
      </c>
      <c r="D287" s="339">
        <f t="shared" si="68"/>
        <v>4.518</v>
      </c>
      <c r="E287" s="339"/>
      <c r="F287" s="339">
        <v>4.518</v>
      </c>
      <c r="G287" s="339"/>
      <c r="H287" s="339"/>
      <c r="I287" s="339"/>
      <c r="J287" s="339"/>
      <c r="K287" s="339"/>
    </row>
    <row r="288" spans="1:11" s="316" customFormat="1" ht="12.75" customHeight="1">
      <c r="A288" s="475"/>
      <c r="B288" s="477"/>
      <c r="C288" s="338" t="s">
        <v>772</v>
      </c>
      <c r="D288" s="339">
        <f t="shared" si="68"/>
        <v>0</v>
      </c>
      <c r="E288" s="339"/>
      <c r="F288" s="339"/>
      <c r="G288" s="339"/>
      <c r="H288" s="339"/>
      <c r="I288" s="339"/>
      <c r="J288" s="339"/>
      <c r="K288" s="339"/>
    </row>
    <row r="289" spans="1:11" s="316" customFormat="1" ht="12.75" customHeight="1">
      <c r="A289" s="475"/>
      <c r="B289" s="477"/>
      <c r="C289" s="338" t="s">
        <v>773</v>
      </c>
      <c r="D289" s="339">
        <f t="shared" si="68"/>
        <v>1.506</v>
      </c>
      <c r="E289" s="339"/>
      <c r="F289" s="339">
        <v>1.506</v>
      </c>
      <c r="G289" s="339"/>
      <c r="H289" s="339"/>
      <c r="I289" s="339"/>
      <c r="J289" s="339"/>
      <c r="K289" s="339"/>
    </row>
    <row r="290" spans="1:11" s="316" customFormat="1" ht="12.75" customHeight="1">
      <c r="A290" s="475"/>
      <c r="B290" s="477"/>
      <c r="C290" s="338" t="s">
        <v>774</v>
      </c>
      <c r="D290" s="339">
        <f t="shared" si="68"/>
        <v>1.004</v>
      </c>
      <c r="E290" s="339"/>
      <c r="F290" s="339">
        <v>1.004</v>
      </c>
      <c r="G290" s="339"/>
      <c r="H290" s="339"/>
      <c r="I290" s="339"/>
      <c r="J290" s="339"/>
      <c r="K290" s="339"/>
    </row>
    <row r="291" spans="1:11" s="316" customFormat="1" ht="26.25" customHeight="1">
      <c r="A291" s="474" t="s">
        <v>865</v>
      </c>
      <c r="B291" s="476" t="s">
        <v>462</v>
      </c>
      <c r="C291" s="337" t="s">
        <v>805</v>
      </c>
      <c r="D291" s="339">
        <f t="shared" si="68"/>
        <v>46.83</v>
      </c>
      <c r="E291" s="340">
        <f aca="true" t="shared" si="72" ref="E291:K291">SUM(E292:E296)</f>
        <v>0</v>
      </c>
      <c r="F291" s="340">
        <f t="shared" si="72"/>
        <v>46.83</v>
      </c>
      <c r="G291" s="340">
        <f t="shared" si="72"/>
        <v>0</v>
      </c>
      <c r="H291" s="340">
        <f t="shared" si="72"/>
        <v>0</v>
      </c>
      <c r="I291" s="340">
        <f t="shared" si="72"/>
        <v>0</v>
      </c>
      <c r="J291" s="340">
        <f t="shared" si="72"/>
        <v>0</v>
      </c>
      <c r="K291" s="340">
        <f t="shared" si="72"/>
        <v>0</v>
      </c>
    </row>
    <row r="292" spans="1:11" s="316" customFormat="1" ht="12.75" customHeight="1">
      <c r="A292" s="475"/>
      <c r="B292" s="477"/>
      <c r="C292" s="338" t="s">
        <v>770</v>
      </c>
      <c r="D292" s="339">
        <f t="shared" si="68"/>
        <v>14.0485</v>
      </c>
      <c r="E292" s="339"/>
      <c r="F292" s="339">
        <v>14.0485</v>
      </c>
      <c r="G292" s="339"/>
      <c r="H292" s="339"/>
      <c r="I292" s="339"/>
      <c r="J292" s="339"/>
      <c r="K292" s="339"/>
    </row>
    <row r="293" spans="1:11" s="316" customFormat="1" ht="12.75" customHeight="1">
      <c r="A293" s="475"/>
      <c r="B293" s="477"/>
      <c r="C293" s="338" t="s">
        <v>771</v>
      </c>
      <c r="D293" s="339">
        <f t="shared" si="68"/>
        <v>21.0735</v>
      </c>
      <c r="E293" s="339"/>
      <c r="F293" s="339">
        <v>21.0735</v>
      </c>
      <c r="G293" s="339"/>
      <c r="H293" s="339"/>
      <c r="I293" s="339"/>
      <c r="J293" s="339"/>
      <c r="K293" s="339"/>
    </row>
    <row r="294" spans="1:11" s="316" customFormat="1" ht="12.75" customHeight="1">
      <c r="A294" s="475"/>
      <c r="B294" s="477"/>
      <c r="C294" s="338" t="s">
        <v>772</v>
      </c>
      <c r="D294" s="339">
        <f t="shared" si="68"/>
        <v>0</v>
      </c>
      <c r="E294" s="339"/>
      <c r="F294" s="339"/>
      <c r="G294" s="339"/>
      <c r="H294" s="339"/>
      <c r="I294" s="339"/>
      <c r="J294" s="339"/>
      <c r="K294" s="339"/>
    </row>
    <row r="295" spans="1:11" s="316" customFormat="1" ht="12.75" customHeight="1">
      <c r="A295" s="475"/>
      <c r="B295" s="477"/>
      <c r="C295" s="338" t="s">
        <v>773</v>
      </c>
      <c r="D295" s="339">
        <f t="shared" si="68"/>
        <v>7.025</v>
      </c>
      <c r="E295" s="339"/>
      <c r="F295" s="339">
        <v>7.025</v>
      </c>
      <c r="G295" s="339"/>
      <c r="H295" s="339"/>
      <c r="I295" s="339"/>
      <c r="J295" s="339"/>
      <c r="K295" s="339"/>
    </row>
    <row r="296" spans="1:11" s="316" customFormat="1" ht="12.75" customHeight="1">
      <c r="A296" s="475"/>
      <c r="B296" s="477"/>
      <c r="C296" s="338" t="s">
        <v>774</v>
      </c>
      <c r="D296" s="339">
        <f t="shared" si="68"/>
        <v>4.683</v>
      </c>
      <c r="E296" s="339"/>
      <c r="F296" s="339">
        <v>4.683</v>
      </c>
      <c r="G296" s="339"/>
      <c r="H296" s="339"/>
      <c r="I296" s="339"/>
      <c r="J296" s="339"/>
      <c r="K296" s="339"/>
    </row>
    <row r="297" spans="1:11" s="316" customFormat="1" ht="26.25" customHeight="1">
      <c r="A297" s="474" t="s">
        <v>866</v>
      </c>
      <c r="B297" s="476" t="s">
        <v>463</v>
      </c>
      <c r="C297" s="337" t="s">
        <v>805</v>
      </c>
      <c r="D297" s="339">
        <f aca="true" t="shared" si="73" ref="D297:D320">SUM(E297:K297)</f>
        <v>33.18</v>
      </c>
      <c r="E297" s="340">
        <f aca="true" t="shared" si="74" ref="E297:K297">SUM(E298:E302)</f>
        <v>0</v>
      </c>
      <c r="F297" s="340">
        <f t="shared" si="74"/>
        <v>0</v>
      </c>
      <c r="G297" s="340">
        <f t="shared" si="74"/>
        <v>0</v>
      </c>
      <c r="H297" s="340">
        <f t="shared" si="74"/>
        <v>21.04</v>
      </c>
      <c r="I297" s="340">
        <f t="shared" si="74"/>
        <v>12.14</v>
      </c>
      <c r="J297" s="340">
        <f t="shared" si="74"/>
        <v>0</v>
      </c>
      <c r="K297" s="340">
        <f t="shared" si="74"/>
        <v>0</v>
      </c>
    </row>
    <row r="298" spans="1:11" s="316" customFormat="1" ht="12.75" customHeight="1">
      <c r="A298" s="475"/>
      <c r="B298" s="477"/>
      <c r="C298" s="338" t="s">
        <v>770</v>
      </c>
      <c r="D298" s="339">
        <f t="shared" si="73"/>
        <v>9.953999999999999</v>
      </c>
      <c r="E298" s="339"/>
      <c r="F298" s="339"/>
      <c r="G298" s="339"/>
      <c r="H298" s="339">
        <f>3.642+2.67</f>
        <v>6.311999999999999</v>
      </c>
      <c r="I298" s="339">
        <v>3.642</v>
      </c>
      <c r="J298" s="339"/>
      <c r="K298" s="339"/>
    </row>
    <row r="299" spans="1:11" s="316" customFormat="1" ht="12.75" customHeight="1">
      <c r="A299" s="475"/>
      <c r="B299" s="477"/>
      <c r="C299" s="338" t="s">
        <v>771</v>
      </c>
      <c r="D299" s="339">
        <f t="shared" si="73"/>
        <v>14.931000000000001</v>
      </c>
      <c r="E299" s="339"/>
      <c r="F299" s="339"/>
      <c r="G299" s="339"/>
      <c r="H299" s="339">
        <f>5.463+4.005</f>
        <v>9.468</v>
      </c>
      <c r="I299" s="339">
        <v>5.463</v>
      </c>
      <c r="J299" s="339"/>
      <c r="K299" s="339"/>
    </row>
    <row r="300" spans="1:11" s="316" customFormat="1" ht="12.75" customHeight="1">
      <c r="A300" s="475"/>
      <c r="B300" s="477"/>
      <c r="C300" s="338" t="s">
        <v>772</v>
      </c>
      <c r="D300" s="339">
        <f t="shared" si="73"/>
        <v>0</v>
      </c>
      <c r="E300" s="339"/>
      <c r="F300" s="339"/>
      <c r="G300" s="339"/>
      <c r="H300" s="339"/>
      <c r="I300" s="339"/>
      <c r="J300" s="339"/>
      <c r="K300" s="339"/>
    </row>
    <row r="301" spans="1:11" s="316" customFormat="1" ht="12.75" customHeight="1">
      <c r="A301" s="475"/>
      <c r="B301" s="477"/>
      <c r="C301" s="338" t="s">
        <v>773</v>
      </c>
      <c r="D301" s="339">
        <f t="shared" si="73"/>
        <v>4.976999999999999</v>
      </c>
      <c r="E301" s="339"/>
      <c r="F301" s="339"/>
      <c r="G301" s="339"/>
      <c r="H301" s="339">
        <f>1.821+1.335</f>
        <v>3.1559999999999997</v>
      </c>
      <c r="I301" s="339">
        <v>1.821</v>
      </c>
      <c r="J301" s="339"/>
      <c r="K301" s="339"/>
    </row>
    <row r="302" spans="1:11" s="316" customFormat="1" ht="12.75" customHeight="1">
      <c r="A302" s="475"/>
      <c r="B302" s="477"/>
      <c r="C302" s="338" t="s">
        <v>774</v>
      </c>
      <c r="D302" s="339">
        <f t="shared" si="73"/>
        <v>3.318</v>
      </c>
      <c r="E302" s="339"/>
      <c r="F302" s="339"/>
      <c r="G302" s="339"/>
      <c r="H302" s="339">
        <f>1.214+0.89</f>
        <v>2.104</v>
      </c>
      <c r="I302" s="339">
        <v>1.214</v>
      </c>
      <c r="J302" s="339"/>
      <c r="K302" s="339"/>
    </row>
    <row r="303" spans="1:11" s="316" customFormat="1" ht="26.25" customHeight="1">
      <c r="A303" s="474" t="s">
        <v>867</v>
      </c>
      <c r="B303" s="476" t="s">
        <v>464</v>
      </c>
      <c r="C303" s="337" t="s">
        <v>805</v>
      </c>
      <c r="D303" s="339">
        <f t="shared" si="73"/>
        <v>41.76</v>
      </c>
      <c r="E303" s="340">
        <f aca="true" t="shared" si="75" ref="E303:K303">SUM(E304:E308)</f>
        <v>0</v>
      </c>
      <c r="F303" s="340">
        <f t="shared" si="75"/>
        <v>0</v>
      </c>
      <c r="G303" s="340">
        <f t="shared" si="75"/>
        <v>20.240000000000002</v>
      </c>
      <c r="H303" s="340">
        <f t="shared" si="75"/>
        <v>14.169999999999998</v>
      </c>
      <c r="I303" s="340">
        <f t="shared" si="75"/>
        <v>0</v>
      </c>
      <c r="J303" s="340">
        <f t="shared" si="75"/>
        <v>7.35</v>
      </c>
      <c r="K303" s="340">
        <f t="shared" si="75"/>
        <v>0</v>
      </c>
    </row>
    <row r="304" spans="1:11" s="316" customFormat="1" ht="12.75" customHeight="1">
      <c r="A304" s="475"/>
      <c r="B304" s="477"/>
      <c r="C304" s="338" t="s">
        <v>770</v>
      </c>
      <c r="D304" s="339">
        <f t="shared" si="73"/>
        <v>12.5275</v>
      </c>
      <c r="E304" s="339"/>
      <c r="F304" s="339"/>
      <c r="G304" s="339">
        <v>6.072</v>
      </c>
      <c r="H304" s="339">
        <v>4.2505</v>
      </c>
      <c r="I304" s="339"/>
      <c r="J304" s="339">
        <v>2.205</v>
      </c>
      <c r="K304" s="339"/>
    </row>
    <row r="305" spans="1:11" s="316" customFormat="1" ht="12.75" customHeight="1">
      <c r="A305" s="475"/>
      <c r="B305" s="477"/>
      <c r="C305" s="338" t="s">
        <v>771</v>
      </c>
      <c r="D305" s="339">
        <f t="shared" si="73"/>
        <v>18.7925</v>
      </c>
      <c r="E305" s="339"/>
      <c r="F305" s="339"/>
      <c r="G305" s="339">
        <v>9.108</v>
      </c>
      <c r="H305" s="339">
        <v>6.3765</v>
      </c>
      <c r="I305" s="339"/>
      <c r="J305" s="339">
        <v>3.308</v>
      </c>
      <c r="K305" s="339"/>
    </row>
    <row r="306" spans="1:11" s="316" customFormat="1" ht="12.75" customHeight="1">
      <c r="A306" s="475"/>
      <c r="B306" s="477"/>
      <c r="C306" s="338" t="s">
        <v>772</v>
      </c>
      <c r="D306" s="339">
        <f t="shared" si="73"/>
        <v>0</v>
      </c>
      <c r="E306" s="339"/>
      <c r="F306" s="339"/>
      <c r="G306" s="339"/>
      <c r="H306" s="339"/>
      <c r="I306" s="339"/>
      <c r="J306" s="339"/>
      <c r="K306" s="339"/>
    </row>
    <row r="307" spans="1:11" s="316" customFormat="1" ht="12.75" customHeight="1">
      <c r="A307" s="475"/>
      <c r="B307" s="477"/>
      <c r="C307" s="338" t="s">
        <v>773</v>
      </c>
      <c r="D307" s="339">
        <f t="shared" si="73"/>
        <v>6.2645</v>
      </c>
      <c r="E307" s="339"/>
      <c r="F307" s="339"/>
      <c r="G307" s="339">
        <v>3.036</v>
      </c>
      <c r="H307" s="339">
        <v>2.126</v>
      </c>
      <c r="I307" s="339"/>
      <c r="J307" s="339">
        <v>1.1025</v>
      </c>
      <c r="K307" s="339"/>
    </row>
    <row r="308" spans="1:11" s="316" customFormat="1" ht="12.75" customHeight="1">
      <c r="A308" s="475"/>
      <c r="B308" s="477"/>
      <c r="C308" s="338" t="s">
        <v>774</v>
      </c>
      <c r="D308" s="339">
        <f t="shared" si="73"/>
        <v>4.1754999999999995</v>
      </c>
      <c r="E308" s="339"/>
      <c r="F308" s="339"/>
      <c r="G308" s="339">
        <v>2.024</v>
      </c>
      <c r="H308" s="339">
        <v>1.417</v>
      </c>
      <c r="I308" s="339"/>
      <c r="J308" s="339">
        <v>0.7345</v>
      </c>
      <c r="K308" s="339"/>
    </row>
    <row r="309" spans="1:13" s="316" customFormat="1" ht="26.25" customHeight="1">
      <c r="A309" s="474" t="s">
        <v>868</v>
      </c>
      <c r="B309" s="476" t="s">
        <v>465</v>
      </c>
      <c r="C309" s="337" t="s">
        <v>805</v>
      </c>
      <c r="D309" s="339">
        <f t="shared" si="73"/>
        <v>42.69</v>
      </c>
      <c r="E309" s="340">
        <f aca="true" t="shared" si="76" ref="E309:K309">SUM(E310:E314)</f>
        <v>0</v>
      </c>
      <c r="F309" s="340">
        <f t="shared" si="76"/>
        <v>0</v>
      </c>
      <c r="G309" s="340">
        <f t="shared" si="76"/>
        <v>18.4</v>
      </c>
      <c r="H309" s="340">
        <f t="shared" si="76"/>
        <v>24.289999999999996</v>
      </c>
      <c r="I309" s="340">
        <f t="shared" si="76"/>
        <v>0</v>
      </c>
      <c r="J309" s="340">
        <f t="shared" si="76"/>
        <v>0</v>
      </c>
      <c r="K309" s="340">
        <f t="shared" si="76"/>
        <v>0</v>
      </c>
      <c r="M309" s="316" t="s">
        <v>3</v>
      </c>
    </row>
    <row r="310" spans="1:11" s="316" customFormat="1" ht="12.75" customHeight="1">
      <c r="A310" s="475"/>
      <c r="B310" s="477"/>
      <c r="C310" s="338" t="s">
        <v>770</v>
      </c>
      <c r="D310" s="339">
        <f t="shared" si="73"/>
        <v>12.8065</v>
      </c>
      <c r="E310" s="339"/>
      <c r="F310" s="339"/>
      <c r="G310" s="339">
        <v>5.52</v>
      </c>
      <c r="H310" s="339">
        <v>7.2865</v>
      </c>
      <c r="I310" s="339"/>
      <c r="J310" s="339"/>
      <c r="K310" s="339"/>
    </row>
    <row r="311" spans="1:11" s="316" customFormat="1" ht="12.75" customHeight="1">
      <c r="A311" s="475"/>
      <c r="B311" s="477"/>
      <c r="C311" s="338" t="s">
        <v>771</v>
      </c>
      <c r="D311" s="339">
        <f t="shared" si="73"/>
        <v>19.2105</v>
      </c>
      <c r="E311" s="339"/>
      <c r="F311" s="339"/>
      <c r="G311" s="339">
        <v>8.28</v>
      </c>
      <c r="H311" s="339">
        <v>10.9305</v>
      </c>
      <c r="I311" s="339"/>
      <c r="J311" s="339"/>
      <c r="K311" s="339"/>
    </row>
    <row r="312" spans="1:11" s="316" customFormat="1" ht="12.75" customHeight="1">
      <c r="A312" s="475"/>
      <c r="B312" s="477"/>
      <c r="C312" s="338" t="s">
        <v>772</v>
      </c>
      <c r="D312" s="339">
        <f t="shared" si="73"/>
        <v>0</v>
      </c>
      <c r="E312" s="339"/>
      <c r="F312" s="339"/>
      <c r="G312" s="339"/>
      <c r="H312" s="339"/>
      <c r="I312" s="339"/>
      <c r="J312" s="339"/>
      <c r="K312" s="339"/>
    </row>
    <row r="313" spans="1:11" s="316" customFormat="1" ht="12.75" customHeight="1">
      <c r="A313" s="475"/>
      <c r="B313" s="477"/>
      <c r="C313" s="338" t="s">
        <v>773</v>
      </c>
      <c r="D313" s="339">
        <f t="shared" si="73"/>
        <v>6.404</v>
      </c>
      <c r="E313" s="339"/>
      <c r="F313" s="339"/>
      <c r="G313" s="339">
        <v>2.76</v>
      </c>
      <c r="H313" s="339">
        <v>3.644</v>
      </c>
      <c r="I313" s="339"/>
      <c r="J313" s="339"/>
      <c r="K313" s="339"/>
    </row>
    <row r="314" spans="1:11" s="316" customFormat="1" ht="12.75" customHeight="1">
      <c r="A314" s="475"/>
      <c r="B314" s="477"/>
      <c r="C314" s="338" t="s">
        <v>774</v>
      </c>
      <c r="D314" s="339">
        <f t="shared" si="73"/>
        <v>4.269</v>
      </c>
      <c r="E314" s="339"/>
      <c r="F314" s="339"/>
      <c r="G314" s="339">
        <v>1.84</v>
      </c>
      <c r="H314" s="339">
        <v>2.429</v>
      </c>
      <c r="I314" s="339"/>
      <c r="J314" s="339"/>
      <c r="K314" s="339"/>
    </row>
    <row r="315" spans="1:11" s="316" customFormat="1" ht="26.25" customHeight="1">
      <c r="A315" s="474" t="s">
        <v>869</v>
      </c>
      <c r="B315" s="476" t="s">
        <v>467</v>
      </c>
      <c r="C315" s="337" t="s">
        <v>805</v>
      </c>
      <c r="D315" s="339">
        <f t="shared" si="73"/>
        <v>18.073629999999998</v>
      </c>
      <c r="E315" s="340">
        <f aca="true" t="shared" si="77" ref="E315:K315">SUM(E316:E320)</f>
        <v>8.033629999999999</v>
      </c>
      <c r="F315" s="340">
        <f t="shared" si="77"/>
        <v>10.04</v>
      </c>
      <c r="G315" s="340">
        <f t="shared" si="77"/>
        <v>0</v>
      </c>
      <c r="H315" s="340">
        <f t="shared" si="77"/>
        <v>0</v>
      </c>
      <c r="I315" s="340">
        <f t="shared" si="77"/>
        <v>0</v>
      </c>
      <c r="J315" s="340">
        <f t="shared" si="77"/>
        <v>0</v>
      </c>
      <c r="K315" s="340">
        <f t="shared" si="77"/>
        <v>0</v>
      </c>
    </row>
    <row r="316" spans="1:11" s="316" customFormat="1" ht="12.75" customHeight="1">
      <c r="A316" s="475"/>
      <c r="B316" s="477"/>
      <c r="C316" s="338" t="s">
        <v>770</v>
      </c>
      <c r="D316" s="339">
        <f t="shared" si="73"/>
        <v>5.4223</v>
      </c>
      <c r="E316" s="339">
        <v>2.4103</v>
      </c>
      <c r="F316" s="339">
        <v>3.012</v>
      </c>
      <c r="G316" s="339"/>
      <c r="H316" s="339"/>
      <c r="I316" s="339"/>
      <c r="J316" s="339"/>
      <c r="K316" s="339"/>
    </row>
    <row r="317" spans="1:11" s="316" customFormat="1" ht="12.75" customHeight="1">
      <c r="A317" s="475"/>
      <c r="B317" s="477"/>
      <c r="C317" s="338" t="s">
        <v>771</v>
      </c>
      <c r="D317" s="339">
        <f t="shared" si="73"/>
        <v>8.133</v>
      </c>
      <c r="E317" s="339">
        <v>3.615</v>
      </c>
      <c r="F317" s="339">
        <v>4.518</v>
      </c>
      <c r="G317" s="339"/>
      <c r="H317" s="339"/>
      <c r="I317" s="339"/>
      <c r="J317" s="339"/>
      <c r="K317" s="339"/>
    </row>
    <row r="318" spans="1:11" s="316" customFormat="1" ht="12.75" customHeight="1">
      <c r="A318" s="475"/>
      <c r="B318" s="477"/>
      <c r="C318" s="338" t="s">
        <v>772</v>
      </c>
      <c r="D318" s="339">
        <f t="shared" si="73"/>
        <v>0</v>
      </c>
      <c r="E318" s="339">
        <v>0</v>
      </c>
      <c r="F318" s="339"/>
      <c r="G318" s="339"/>
      <c r="H318" s="339"/>
      <c r="I318" s="339"/>
      <c r="J318" s="339"/>
      <c r="K318" s="339"/>
    </row>
    <row r="319" spans="1:11" s="316" customFormat="1" ht="12.75" customHeight="1">
      <c r="A319" s="475"/>
      <c r="B319" s="477"/>
      <c r="C319" s="338" t="s">
        <v>773</v>
      </c>
      <c r="D319" s="339">
        <f t="shared" si="73"/>
        <v>2.71103</v>
      </c>
      <c r="E319" s="339">
        <v>1.20503</v>
      </c>
      <c r="F319" s="339">
        <v>1.506</v>
      </c>
      <c r="G319" s="339"/>
      <c r="H319" s="339"/>
      <c r="I319" s="339"/>
      <c r="J319" s="339"/>
      <c r="K319" s="339"/>
    </row>
    <row r="320" spans="1:11" s="316" customFormat="1" ht="12.75" customHeight="1">
      <c r="A320" s="475"/>
      <c r="B320" s="477"/>
      <c r="C320" s="338" t="s">
        <v>774</v>
      </c>
      <c r="D320" s="339">
        <f t="shared" si="73"/>
        <v>1.8073000000000001</v>
      </c>
      <c r="E320" s="339">
        <v>0.8033</v>
      </c>
      <c r="F320" s="339">
        <v>1.004</v>
      </c>
      <c r="G320" s="339"/>
      <c r="H320" s="339"/>
      <c r="I320" s="339"/>
      <c r="J320" s="339"/>
      <c r="K320" s="339"/>
    </row>
    <row r="321" spans="1:11" s="316" customFormat="1" ht="26.25" customHeight="1">
      <c r="A321" s="474" t="s">
        <v>870</v>
      </c>
      <c r="B321" s="476" t="s">
        <v>468</v>
      </c>
      <c r="C321" s="337" t="s">
        <v>805</v>
      </c>
      <c r="D321" s="339">
        <f aca="true" t="shared" si="78" ref="D321:D326">SUM(E321:K321)</f>
        <v>17.729999999999997</v>
      </c>
      <c r="E321" s="340">
        <f aca="true" t="shared" si="79" ref="E321:K321">SUM(E322:E326)</f>
        <v>0</v>
      </c>
      <c r="F321" s="340">
        <f t="shared" si="79"/>
        <v>6.6899999999999995</v>
      </c>
      <c r="G321" s="340">
        <f t="shared" si="79"/>
        <v>11.04</v>
      </c>
      <c r="H321" s="340">
        <f t="shared" si="79"/>
        <v>0</v>
      </c>
      <c r="I321" s="340">
        <f t="shared" si="79"/>
        <v>0</v>
      </c>
      <c r="J321" s="340">
        <f t="shared" si="79"/>
        <v>0</v>
      </c>
      <c r="K321" s="340">
        <f t="shared" si="79"/>
        <v>0</v>
      </c>
    </row>
    <row r="322" spans="1:11" s="316" customFormat="1" ht="12.75" customHeight="1">
      <c r="A322" s="475"/>
      <c r="B322" s="477"/>
      <c r="C322" s="338" t="s">
        <v>770</v>
      </c>
      <c r="D322" s="339">
        <f t="shared" si="78"/>
        <v>5.3185</v>
      </c>
      <c r="E322" s="339"/>
      <c r="F322" s="339">
        <v>2.0065</v>
      </c>
      <c r="G322" s="339">
        <v>3.312</v>
      </c>
      <c r="H322" s="339"/>
      <c r="I322" s="339"/>
      <c r="J322" s="339"/>
      <c r="K322" s="339"/>
    </row>
    <row r="323" spans="1:11" s="316" customFormat="1" ht="12.75" customHeight="1">
      <c r="A323" s="475"/>
      <c r="B323" s="477"/>
      <c r="C323" s="338" t="s">
        <v>771</v>
      </c>
      <c r="D323" s="339">
        <f t="shared" si="78"/>
        <v>7.9785</v>
      </c>
      <c r="E323" s="339"/>
      <c r="F323" s="339">
        <v>3.0105</v>
      </c>
      <c r="G323" s="339">
        <v>4.968</v>
      </c>
      <c r="H323" s="339"/>
      <c r="I323" s="339"/>
      <c r="J323" s="339"/>
      <c r="K323" s="339"/>
    </row>
    <row r="324" spans="1:11" s="316" customFormat="1" ht="12.75" customHeight="1">
      <c r="A324" s="475"/>
      <c r="B324" s="477"/>
      <c r="C324" s="338" t="s">
        <v>772</v>
      </c>
      <c r="D324" s="339">
        <f t="shared" si="78"/>
        <v>0</v>
      </c>
      <c r="E324" s="339"/>
      <c r="F324" s="339"/>
      <c r="G324" s="339"/>
      <c r="H324" s="339"/>
      <c r="I324" s="339"/>
      <c r="J324" s="339"/>
      <c r="K324" s="339"/>
    </row>
    <row r="325" spans="1:11" s="316" customFormat="1" ht="12.75" customHeight="1">
      <c r="A325" s="475"/>
      <c r="B325" s="477"/>
      <c r="C325" s="338" t="s">
        <v>773</v>
      </c>
      <c r="D325" s="339">
        <f t="shared" si="78"/>
        <v>2.66</v>
      </c>
      <c r="E325" s="339"/>
      <c r="F325" s="339">
        <v>1.004</v>
      </c>
      <c r="G325" s="339">
        <v>1.656</v>
      </c>
      <c r="H325" s="339"/>
      <c r="I325" s="339"/>
      <c r="J325" s="339"/>
      <c r="K325" s="339"/>
    </row>
    <row r="326" spans="1:11" s="316" customFormat="1" ht="12.75" customHeight="1">
      <c r="A326" s="475"/>
      <c r="B326" s="477"/>
      <c r="C326" s="338" t="s">
        <v>774</v>
      </c>
      <c r="D326" s="339">
        <f t="shared" si="78"/>
        <v>1.7730000000000001</v>
      </c>
      <c r="E326" s="339"/>
      <c r="F326" s="339">
        <v>0.669</v>
      </c>
      <c r="G326" s="339">
        <v>1.104</v>
      </c>
      <c r="H326" s="339"/>
      <c r="I326" s="339"/>
      <c r="J326" s="339"/>
      <c r="K326" s="339"/>
    </row>
    <row r="327" spans="1:11" ht="24.75" customHeight="1">
      <c r="A327" s="478">
        <v>9</v>
      </c>
      <c r="B327" s="478" t="s">
        <v>872</v>
      </c>
      <c r="C327" s="348" t="s">
        <v>805</v>
      </c>
      <c r="D327" s="349">
        <f>SUM(E327:K327)</f>
        <v>280</v>
      </c>
      <c r="E327" s="349">
        <f aca="true" t="shared" si="80" ref="E327:K327">E328+E329+E330+E331+E332</f>
        <v>0</v>
      </c>
      <c r="F327" s="349">
        <f t="shared" si="80"/>
        <v>103</v>
      </c>
      <c r="G327" s="349">
        <f t="shared" si="80"/>
        <v>52.00000000000001</v>
      </c>
      <c r="H327" s="349">
        <f t="shared" si="80"/>
        <v>40</v>
      </c>
      <c r="I327" s="349">
        <f t="shared" si="80"/>
        <v>45</v>
      </c>
      <c r="J327" s="349">
        <f t="shared" si="80"/>
        <v>35</v>
      </c>
      <c r="K327" s="349">
        <f t="shared" si="80"/>
        <v>5</v>
      </c>
    </row>
    <row r="328" spans="1:11" ht="12.75" customHeight="1">
      <c r="A328" s="478"/>
      <c r="B328" s="478"/>
      <c r="C328" s="335" t="s">
        <v>770</v>
      </c>
      <c r="D328" s="342">
        <f>SUM(E328:K329)</f>
        <v>249.20000000000002</v>
      </c>
      <c r="E328" s="342">
        <f aca="true" t="shared" si="81" ref="E328:K332">E335+E341+E347</f>
        <v>0</v>
      </c>
      <c r="F328" s="342">
        <f t="shared" si="81"/>
        <v>30.900000000000002</v>
      </c>
      <c r="G328" s="342">
        <f t="shared" si="81"/>
        <v>15.6</v>
      </c>
      <c r="H328" s="342">
        <f t="shared" si="81"/>
        <v>12</v>
      </c>
      <c r="I328" s="342">
        <f t="shared" si="81"/>
        <v>13.5</v>
      </c>
      <c r="J328" s="342">
        <f t="shared" si="81"/>
        <v>10.5</v>
      </c>
      <c r="K328" s="342">
        <f t="shared" si="81"/>
        <v>1.5</v>
      </c>
    </row>
    <row r="329" spans="1:11" ht="12.75" customHeight="1">
      <c r="A329" s="478"/>
      <c r="B329" s="478"/>
      <c r="C329" s="335" t="s">
        <v>771</v>
      </c>
      <c r="D329" s="342">
        <f>SUM(E329:K330)</f>
        <v>168.00000000000003</v>
      </c>
      <c r="E329" s="342">
        <f t="shared" si="81"/>
        <v>0</v>
      </c>
      <c r="F329" s="342">
        <f t="shared" si="81"/>
        <v>60.77</v>
      </c>
      <c r="G329" s="342">
        <f t="shared" si="81"/>
        <v>30.68</v>
      </c>
      <c r="H329" s="342">
        <f t="shared" si="81"/>
        <v>23.6</v>
      </c>
      <c r="I329" s="342">
        <f t="shared" si="81"/>
        <v>26.55</v>
      </c>
      <c r="J329" s="342">
        <f t="shared" si="81"/>
        <v>20.65</v>
      </c>
      <c r="K329" s="342">
        <f t="shared" si="81"/>
        <v>2.95</v>
      </c>
    </row>
    <row r="330" spans="1:11" ht="12.75" customHeight="1">
      <c r="A330" s="478"/>
      <c r="B330" s="478"/>
      <c r="C330" s="335" t="s">
        <v>772</v>
      </c>
      <c r="D330" s="342">
        <f>SUM(E330:K331)</f>
        <v>2.8000000000000003</v>
      </c>
      <c r="E330" s="342">
        <f t="shared" si="81"/>
        <v>0</v>
      </c>
      <c r="F330" s="342">
        <f t="shared" si="81"/>
        <v>1.03</v>
      </c>
      <c r="G330" s="342">
        <f t="shared" si="81"/>
        <v>0.52</v>
      </c>
      <c r="H330" s="342">
        <f t="shared" si="81"/>
        <v>0.4</v>
      </c>
      <c r="I330" s="342">
        <f t="shared" si="81"/>
        <v>0.45</v>
      </c>
      <c r="J330" s="342">
        <f t="shared" si="81"/>
        <v>0.35</v>
      </c>
      <c r="K330" s="342">
        <f t="shared" si="81"/>
        <v>0.05</v>
      </c>
    </row>
    <row r="331" spans="1:11" ht="12.75" customHeight="1">
      <c r="A331" s="478"/>
      <c r="B331" s="478"/>
      <c r="C331" s="335" t="s">
        <v>773</v>
      </c>
      <c r="D331" s="342">
        <f>SUM(E331:K332)</f>
        <v>28</v>
      </c>
      <c r="E331" s="342">
        <f t="shared" si="81"/>
        <v>0</v>
      </c>
      <c r="F331" s="342">
        <f t="shared" si="81"/>
        <v>0</v>
      </c>
      <c r="G331" s="342">
        <f t="shared" si="81"/>
        <v>0</v>
      </c>
      <c r="H331" s="342">
        <f t="shared" si="81"/>
        <v>0</v>
      </c>
      <c r="I331" s="342">
        <f t="shared" si="81"/>
        <v>0</v>
      </c>
      <c r="J331" s="342">
        <f t="shared" si="81"/>
        <v>0</v>
      </c>
      <c r="K331" s="342">
        <f t="shared" si="81"/>
        <v>0</v>
      </c>
    </row>
    <row r="332" spans="1:11" ht="12.75" customHeight="1">
      <c r="A332" s="478"/>
      <c r="B332" s="478"/>
      <c r="C332" s="335" t="s">
        <v>774</v>
      </c>
      <c r="D332" s="342">
        <f>SUM(E332:K333)</f>
        <v>28</v>
      </c>
      <c r="E332" s="342">
        <f t="shared" si="81"/>
        <v>0</v>
      </c>
      <c r="F332" s="342">
        <f t="shared" si="81"/>
        <v>10.3</v>
      </c>
      <c r="G332" s="342">
        <f t="shared" si="81"/>
        <v>5.2</v>
      </c>
      <c r="H332" s="342">
        <f t="shared" si="81"/>
        <v>4</v>
      </c>
      <c r="I332" s="342">
        <f t="shared" si="81"/>
        <v>4.5</v>
      </c>
      <c r="J332" s="342">
        <f t="shared" si="81"/>
        <v>3.5</v>
      </c>
      <c r="K332" s="342">
        <f t="shared" si="81"/>
        <v>0.5</v>
      </c>
    </row>
    <row r="333" spans="1:11" ht="27" customHeight="1">
      <c r="A333" s="337"/>
      <c r="B333" s="333" t="s">
        <v>847</v>
      </c>
      <c r="C333" s="335"/>
      <c r="D333" s="340"/>
      <c r="E333" s="340"/>
      <c r="F333" s="340"/>
      <c r="G333" s="340"/>
      <c r="H333" s="340"/>
      <c r="I333" s="340"/>
      <c r="J333" s="340"/>
      <c r="K333" s="340"/>
    </row>
    <row r="334" spans="1:11" s="316" customFormat="1" ht="26.25" customHeight="1">
      <c r="A334" s="474" t="s">
        <v>936</v>
      </c>
      <c r="B334" s="476" t="s">
        <v>461</v>
      </c>
      <c r="C334" s="337" t="s">
        <v>805</v>
      </c>
      <c r="D334" s="339">
        <f aca="true" t="shared" si="82" ref="D334:D339">SUM(E334:K334)</f>
        <v>131</v>
      </c>
      <c r="E334" s="340">
        <f aca="true" t="shared" si="83" ref="E334:K334">SUM(E335:E339)</f>
        <v>0</v>
      </c>
      <c r="F334" s="340">
        <f t="shared" si="83"/>
        <v>46</v>
      </c>
      <c r="G334" s="340">
        <f t="shared" si="83"/>
        <v>0</v>
      </c>
      <c r="H334" s="340">
        <f t="shared" si="83"/>
        <v>0</v>
      </c>
      <c r="I334" s="340">
        <f t="shared" si="83"/>
        <v>45</v>
      </c>
      <c r="J334" s="340">
        <f t="shared" si="83"/>
        <v>35</v>
      </c>
      <c r="K334" s="340">
        <f t="shared" si="83"/>
        <v>5</v>
      </c>
    </row>
    <row r="335" spans="1:11" s="316" customFormat="1" ht="12.75" customHeight="1">
      <c r="A335" s="475"/>
      <c r="B335" s="477"/>
      <c r="C335" s="338" t="s">
        <v>770</v>
      </c>
      <c r="D335" s="339">
        <f t="shared" si="82"/>
        <v>39.3</v>
      </c>
      <c r="E335" s="339"/>
      <c r="F335" s="339">
        <v>13.8</v>
      </c>
      <c r="G335" s="339"/>
      <c r="H335" s="339"/>
      <c r="I335" s="339">
        <v>13.5</v>
      </c>
      <c r="J335" s="339">
        <v>10.5</v>
      </c>
      <c r="K335" s="339">
        <v>1.5</v>
      </c>
    </row>
    <row r="336" spans="1:11" s="316" customFormat="1" ht="12.75" customHeight="1">
      <c r="A336" s="475"/>
      <c r="B336" s="477"/>
      <c r="C336" s="338" t="s">
        <v>771</v>
      </c>
      <c r="D336" s="339">
        <f t="shared" si="82"/>
        <v>77.29</v>
      </c>
      <c r="E336" s="339"/>
      <c r="F336" s="339">
        <v>27.14</v>
      </c>
      <c r="G336" s="339"/>
      <c r="H336" s="339"/>
      <c r="I336" s="339">
        <v>26.55</v>
      </c>
      <c r="J336" s="339">
        <v>20.65</v>
      </c>
      <c r="K336" s="339">
        <v>2.95</v>
      </c>
    </row>
    <row r="337" spans="1:11" s="316" customFormat="1" ht="12.75" customHeight="1">
      <c r="A337" s="475"/>
      <c r="B337" s="477"/>
      <c r="C337" s="338" t="s">
        <v>772</v>
      </c>
      <c r="D337" s="339">
        <f t="shared" si="82"/>
        <v>1.31</v>
      </c>
      <c r="E337" s="339"/>
      <c r="F337" s="339">
        <v>0.46</v>
      </c>
      <c r="G337" s="339"/>
      <c r="H337" s="339"/>
      <c r="I337" s="339">
        <v>0.45</v>
      </c>
      <c r="J337" s="339">
        <v>0.35</v>
      </c>
      <c r="K337" s="339">
        <v>0.05</v>
      </c>
    </row>
    <row r="338" spans="1:11" s="316" customFormat="1" ht="12.75" customHeight="1">
      <c r="A338" s="475"/>
      <c r="B338" s="477"/>
      <c r="C338" s="338" t="s">
        <v>773</v>
      </c>
      <c r="D338" s="339">
        <f t="shared" si="82"/>
        <v>0</v>
      </c>
      <c r="E338" s="339"/>
      <c r="F338" s="339"/>
      <c r="G338" s="339"/>
      <c r="H338" s="339"/>
      <c r="I338" s="339"/>
      <c r="J338" s="339"/>
      <c r="K338" s="339"/>
    </row>
    <row r="339" spans="1:11" s="316" customFormat="1" ht="12.75" customHeight="1">
      <c r="A339" s="475"/>
      <c r="B339" s="477"/>
      <c r="C339" s="338" t="s">
        <v>774</v>
      </c>
      <c r="D339" s="339">
        <f t="shared" si="82"/>
        <v>13.1</v>
      </c>
      <c r="E339" s="339"/>
      <c r="F339" s="339">
        <v>4.6</v>
      </c>
      <c r="G339" s="339"/>
      <c r="H339" s="339"/>
      <c r="I339" s="339">
        <v>4.5</v>
      </c>
      <c r="J339" s="339">
        <v>3.5</v>
      </c>
      <c r="K339" s="339">
        <v>0.5</v>
      </c>
    </row>
    <row r="340" spans="1:11" s="316" customFormat="1" ht="26.25" customHeight="1">
      <c r="A340" s="474" t="s">
        <v>938</v>
      </c>
      <c r="B340" s="476" t="s">
        <v>462</v>
      </c>
      <c r="C340" s="337" t="s">
        <v>805</v>
      </c>
      <c r="D340" s="339">
        <f aca="true" t="shared" si="84" ref="D340:D351">SUM(E340:K340)</f>
        <v>109.00000000000001</v>
      </c>
      <c r="E340" s="340">
        <f aca="true" t="shared" si="85" ref="E340:K340">SUM(E341:E345)</f>
        <v>0</v>
      </c>
      <c r="F340" s="340">
        <f t="shared" si="85"/>
        <v>57.00000000000001</v>
      </c>
      <c r="G340" s="340">
        <f t="shared" si="85"/>
        <v>52.00000000000001</v>
      </c>
      <c r="H340" s="340">
        <f t="shared" si="85"/>
        <v>0</v>
      </c>
      <c r="I340" s="340">
        <f t="shared" si="85"/>
        <v>0</v>
      </c>
      <c r="J340" s="340">
        <f t="shared" si="85"/>
        <v>0</v>
      </c>
      <c r="K340" s="340">
        <f t="shared" si="85"/>
        <v>0</v>
      </c>
    </row>
    <row r="341" spans="1:11" s="316" customFormat="1" ht="12.75" customHeight="1">
      <c r="A341" s="475"/>
      <c r="B341" s="477"/>
      <c r="C341" s="338" t="s">
        <v>770</v>
      </c>
      <c r="D341" s="339">
        <f t="shared" si="84"/>
        <v>32.7</v>
      </c>
      <c r="E341" s="339"/>
      <c r="F341" s="339">
        <v>17.1</v>
      </c>
      <c r="G341" s="339">
        <v>15.6</v>
      </c>
      <c r="H341" s="339"/>
      <c r="I341" s="339"/>
      <c r="J341" s="339"/>
      <c r="K341" s="339"/>
    </row>
    <row r="342" spans="1:11" s="316" customFormat="1" ht="12.75" customHeight="1">
      <c r="A342" s="475"/>
      <c r="B342" s="477"/>
      <c r="C342" s="338" t="s">
        <v>771</v>
      </c>
      <c r="D342" s="339">
        <f t="shared" si="84"/>
        <v>64.31</v>
      </c>
      <c r="E342" s="339"/>
      <c r="F342" s="339">
        <v>33.63</v>
      </c>
      <c r="G342" s="339">
        <v>30.68</v>
      </c>
      <c r="H342" s="339"/>
      <c r="I342" s="339"/>
      <c r="J342" s="339"/>
      <c r="K342" s="339"/>
    </row>
    <row r="343" spans="1:11" s="316" customFormat="1" ht="12.75" customHeight="1">
      <c r="A343" s="475"/>
      <c r="B343" s="477"/>
      <c r="C343" s="338" t="s">
        <v>772</v>
      </c>
      <c r="D343" s="339">
        <f t="shared" si="84"/>
        <v>1.0899999999999999</v>
      </c>
      <c r="E343" s="339"/>
      <c r="F343" s="339">
        <v>0.57</v>
      </c>
      <c r="G343" s="339">
        <v>0.52</v>
      </c>
      <c r="H343" s="339"/>
      <c r="I343" s="339"/>
      <c r="J343" s="339"/>
      <c r="K343" s="339"/>
    </row>
    <row r="344" spans="1:11" s="316" customFormat="1" ht="12.75" customHeight="1">
      <c r="A344" s="475"/>
      <c r="B344" s="477"/>
      <c r="C344" s="338" t="s">
        <v>773</v>
      </c>
      <c r="D344" s="339">
        <f t="shared" si="84"/>
        <v>0</v>
      </c>
      <c r="E344" s="339"/>
      <c r="F344" s="339"/>
      <c r="G344" s="339"/>
      <c r="H344" s="339"/>
      <c r="I344" s="339"/>
      <c r="J344" s="339"/>
      <c r="K344" s="339"/>
    </row>
    <row r="345" spans="1:11" s="316" customFormat="1" ht="12.75" customHeight="1">
      <c r="A345" s="475"/>
      <c r="B345" s="477"/>
      <c r="C345" s="338" t="s">
        <v>774</v>
      </c>
      <c r="D345" s="339">
        <f t="shared" si="84"/>
        <v>10.9</v>
      </c>
      <c r="E345" s="339"/>
      <c r="F345" s="339">
        <v>5.7</v>
      </c>
      <c r="G345" s="339">
        <v>5.2</v>
      </c>
      <c r="H345" s="339"/>
      <c r="I345" s="339"/>
      <c r="J345" s="339"/>
      <c r="K345" s="339"/>
    </row>
    <row r="346" spans="1:11" s="316" customFormat="1" ht="26.25" customHeight="1">
      <c r="A346" s="474" t="s">
        <v>940</v>
      </c>
      <c r="B346" s="476" t="s">
        <v>466</v>
      </c>
      <c r="C346" s="337" t="s">
        <v>805</v>
      </c>
      <c r="D346" s="339">
        <f t="shared" si="84"/>
        <v>42</v>
      </c>
      <c r="E346" s="340">
        <f aca="true" t="shared" si="86" ref="E346:K346">SUM(E347:E351)</f>
        <v>0</v>
      </c>
      <c r="F346" s="340">
        <f t="shared" si="86"/>
        <v>0</v>
      </c>
      <c r="G346" s="340">
        <v>2</v>
      </c>
      <c r="H346" s="340">
        <f t="shared" si="86"/>
        <v>40</v>
      </c>
      <c r="I346" s="340">
        <f t="shared" si="86"/>
        <v>0</v>
      </c>
      <c r="J346" s="340">
        <f t="shared" si="86"/>
        <v>0</v>
      </c>
      <c r="K346" s="340">
        <f t="shared" si="86"/>
        <v>0</v>
      </c>
    </row>
    <row r="347" spans="1:11" s="316" customFormat="1" ht="12.75" customHeight="1">
      <c r="A347" s="475"/>
      <c r="B347" s="477"/>
      <c r="C347" s="338" t="s">
        <v>770</v>
      </c>
      <c r="D347" s="339">
        <f t="shared" si="84"/>
        <v>12</v>
      </c>
      <c r="E347" s="339"/>
      <c r="F347" s="339"/>
      <c r="G347" s="339"/>
      <c r="H347" s="339">
        <v>12</v>
      </c>
      <c r="I347" s="339"/>
      <c r="J347" s="339"/>
      <c r="K347" s="339"/>
    </row>
    <row r="348" spans="1:11" s="316" customFormat="1" ht="12.75" customHeight="1">
      <c r="A348" s="475"/>
      <c r="B348" s="477"/>
      <c r="C348" s="338" t="s">
        <v>771</v>
      </c>
      <c r="D348" s="339">
        <f t="shared" si="84"/>
        <v>23.6</v>
      </c>
      <c r="E348" s="339"/>
      <c r="F348" s="339"/>
      <c r="G348" s="339"/>
      <c r="H348" s="339">
        <v>23.6</v>
      </c>
      <c r="I348" s="339"/>
      <c r="J348" s="339"/>
      <c r="K348" s="339"/>
    </row>
    <row r="349" spans="1:11" s="316" customFormat="1" ht="12.75" customHeight="1">
      <c r="A349" s="475"/>
      <c r="B349" s="477"/>
      <c r="C349" s="338" t="s">
        <v>772</v>
      </c>
      <c r="D349" s="339">
        <f t="shared" si="84"/>
        <v>0.4</v>
      </c>
      <c r="E349" s="339"/>
      <c r="F349" s="339"/>
      <c r="G349" s="339"/>
      <c r="H349" s="339">
        <v>0.4</v>
      </c>
      <c r="I349" s="339"/>
      <c r="J349" s="339"/>
      <c r="K349" s="339"/>
    </row>
    <row r="350" spans="1:11" s="316" customFormat="1" ht="12.75" customHeight="1">
      <c r="A350" s="475"/>
      <c r="B350" s="477"/>
      <c r="C350" s="338" t="s">
        <v>773</v>
      </c>
      <c r="D350" s="339">
        <f t="shared" si="84"/>
        <v>0</v>
      </c>
      <c r="E350" s="339"/>
      <c r="F350" s="339"/>
      <c r="G350" s="339"/>
      <c r="H350" s="339"/>
      <c r="I350" s="339"/>
      <c r="J350" s="339"/>
      <c r="K350" s="339"/>
    </row>
    <row r="351" spans="1:11" s="316" customFormat="1" ht="12.75" customHeight="1">
      <c r="A351" s="475"/>
      <c r="B351" s="477"/>
      <c r="C351" s="338" t="s">
        <v>774</v>
      </c>
      <c r="D351" s="339">
        <f t="shared" si="84"/>
        <v>4</v>
      </c>
      <c r="E351" s="339"/>
      <c r="F351" s="339"/>
      <c r="G351" s="339"/>
      <c r="H351" s="339">
        <v>4</v>
      </c>
      <c r="I351" s="339"/>
      <c r="J351" s="339"/>
      <c r="K351" s="339"/>
    </row>
    <row r="352" spans="1:11" s="344" customFormat="1" ht="27.75" customHeight="1">
      <c r="A352" s="478">
        <v>10</v>
      </c>
      <c r="B352" s="478" t="s">
        <v>809</v>
      </c>
      <c r="C352" s="348" t="s">
        <v>805</v>
      </c>
      <c r="D352" s="350">
        <f aca="true" t="shared" si="87" ref="D352:D358">SUM(E352:K352)</f>
        <v>0.000275</v>
      </c>
      <c r="E352" s="351">
        <f aca="true" t="shared" si="88" ref="E352:K352">SUM(E353:E356)</f>
        <v>0</v>
      </c>
      <c r="F352" s="351">
        <f t="shared" si="88"/>
        <v>0</v>
      </c>
      <c r="G352" s="351">
        <f t="shared" si="88"/>
        <v>0.000275</v>
      </c>
      <c r="H352" s="351">
        <f t="shared" si="88"/>
        <v>0</v>
      </c>
      <c r="I352" s="351">
        <f t="shared" si="88"/>
        <v>0</v>
      </c>
      <c r="J352" s="351">
        <f t="shared" si="88"/>
        <v>0</v>
      </c>
      <c r="K352" s="351">
        <f t="shared" si="88"/>
        <v>0</v>
      </c>
    </row>
    <row r="353" spans="1:11" s="344" customFormat="1" ht="12.75" customHeight="1">
      <c r="A353" s="478"/>
      <c r="B353" s="478"/>
      <c r="C353" s="335" t="s">
        <v>770</v>
      </c>
      <c r="D353" s="342">
        <f t="shared" si="87"/>
        <v>0</v>
      </c>
      <c r="E353" s="342"/>
      <c r="F353" s="342"/>
      <c r="G353" s="342"/>
      <c r="H353" s="342"/>
      <c r="I353" s="342"/>
      <c r="J353" s="342"/>
      <c r="K353" s="342"/>
    </row>
    <row r="354" spans="1:11" s="344" customFormat="1" ht="12.75" customHeight="1">
      <c r="A354" s="478"/>
      <c r="B354" s="478"/>
      <c r="C354" s="335" t="s">
        <v>771</v>
      </c>
      <c r="D354" s="342">
        <f t="shared" si="87"/>
        <v>0</v>
      </c>
      <c r="E354" s="342"/>
      <c r="F354" s="342"/>
      <c r="G354" s="342"/>
      <c r="H354" s="342"/>
      <c r="I354" s="342"/>
      <c r="J354" s="342"/>
      <c r="K354" s="342"/>
    </row>
    <row r="355" spans="1:11" s="344" customFormat="1" ht="12.75" customHeight="1">
      <c r="A355" s="478"/>
      <c r="B355" s="478"/>
      <c r="C355" s="335" t="s">
        <v>772</v>
      </c>
      <c r="D355" s="350">
        <f>SUM(E355:K355)</f>
        <v>0.000275</v>
      </c>
      <c r="E355" s="350">
        <f>E358</f>
        <v>0</v>
      </c>
      <c r="F355" s="350">
        <f aca="true" t="shared" si="89" ref="F355:K355">F358</f>
        <v>0</v>
      </c>
      <c r="G355" s="350">
        <f t="shared" si="89"/>
        <v>0.000275</v>
      </c>
      <c r="H355" s="350">
        <f t="shared" si="89"/>
        <v>0</v>
      </c>
      <c r="I355" s="350">
        <f t="shared" si="89"/>
        <v>0</v>
      </c>
      <c r="J355" s="350">
        <f t="shared" si="89"/>
        <v>0</v>
      </c>
      <c r="K355" s="350">
        <f t="shared" si="89"/>
        <v>0</v>
      </c>
    </row>
    <row r="356" spans="1:11" s="344" customFormat="1" ht="12.75" customHeight="1">
      <c r="A356" s="478"/>
      <c r="B356" s="478"/>
      <c r="C356" s="335" t="s">
        <v>773</v>
      </c>
      <c r="D356" s="342">
        <f t="shared" si="87"/>
        <v>0</v>
      </c>
      <c r="E356" s="342"/>
      <c r="F356" s="342"/>
      <c r="G356" s="342"/>
      <c r="H356" s="342"/>
      <c r="I356" s="342"/>
      <c r="J356" s="342"/>
      <c r="K356" s="342"/>
    </row>
    <row r="357" spans="1:11" s="344" customFormat="1" ht="12.75" customHeight="1">
      <c r="A357" s="478"/>
      <c r="B357" s="478"/>
      <c r="C357" s="335" t="s">
        <v>774</v>
      </c>
      <c r="D357" s="342">
        <f t="shared" si="87"/>
        <v>0</v>
      </c>
      <c r="E357" s="342"/>
      <c r="F357" s="342"/>
      <c r="G357" s="342"/>
      <c r="H357" s="342"/>
      <c r="I357" s="342"/>
      <c r="J357" s="342"/>
      <c r="K357" s="342"/>
    </row>
    <row r="358" spans="1:11" s="316" customFormat="1" ht="27.75" customHeight="1">
      <c r="A358" s="352" t="s">
        <v>946</v>
      </c>
      <c r="B358" s="337" t="s">
        <v>998</v>
      </c>
      <c r="C358" s="335" t="s">
        <v>772</v>
      </c>
      <c r="D358" s="353">
        <f t="shared" si="87"/>
        <v>0.000275</v>
      </c>
      <c r="E358" s="353"/>
      <c r="F358" s="353"/>
      <c r="G358" s="293">
        <f>(55*5)/1000000</f>
        <v>0.000275</v>
      </c>
      <c r="H358" s="339"/>
      <c r="I358" s="339"/>
      <c r="J358" s="339"/>
      <c r="K358" s="339"/>
    </row>
    <row r="359" spans="1:11" s="344" customFormat="1" ht="26.25" customHeight="1">
      <c r="A359" s="478">
        <v>11</v>
      </c>
      <c r="B359" s="479" t="s">
        <v>810</v>
      </c>
      <c r="C359" s="333" t="s">
        <v>805</v>
      </c>
      <c r="D359" s="350">
        <f aca="true" t="shared" si="90" ref="D359:D369">SUM(E359:K359)</f>
        <v>0.0014000000000000002</v>
      </c>
      <c r="E359" s="351">
        <f aca="true" t="shared" si="91" ref="E359:K359">SUM(E360:E363)</f>
        <v>0.0002</v>
      </c>
      <c r="F359" s="351">
        <f t="shared" si="91"/>
        <v>0.0002</v>
      </c>
      <c r="G359" s="351">
        <f t="shared" si="91"/>
        <v>0.0002</v>
      </c>
      <c r="H359" s="351">
        <f t="shared" si="91"/>
        <v>0.0002</v>
      </c>
      <c r="I359" s="351">
        <f t="shared" si="91"/>
        <v>0.0002</v>
      </c>
      <c r="J359" s="351">
        <f t="shared" si="91"/>
        <v>0.0002</v>
      </c>
      <c r="K359" s="351">
        <f t="shared" si="91"/>
        <v>0.0002</v>
      </c>
    </row>
    <row r="360" spans="1:11" s="344" customFormat="1" ht="12.75" customHeight="1">
      <c r="A360" s="478"/>
      <c r="B360" s="480"/>
      <c r="C360" s="335" t="s">
        <v>770</v>
      </c>
      <c r="D360" s="342">
        <f t="shared" si="90"/>
        <v>0</v>
      </c>
      <c r="E360" s="342"/>
      <c r="F360" s="342"/>
      <c r="G360" s="342"/>
      <c r="H360" s="342"/>
      <c r="I360" s="342"/>
      <c r="J360" s="342"/>
      <c r="K360" s="342"/>
    </row>
    <row r="361" spans="1:11" s="344" customFormat="1" ht="12.75" customHeight="1">
      <c r="A361" s="478"/>
      <c r="B361" s="480"/>
      <c r="C361" s="335" t="s">
        <v>771</v>
      </c>
      <c r="D361" s="342">
        <f t="shared" si="90"/>
        <v>0</v>
      </c>
      <c r="E361" s="342"/>
      <c r="F361" s="342"/>
      <c r="G361" s="342"/>
      <c r="H361" s="342"/>
      <c r="I361" s="342"/>
      <c r="J361" s="342"/>
      <c r="K361" s="342"/>
    </row>
    <row r="362" spans="1:11" s="344" customFormat="1" ht="12.75" customHeight="1">
      <c r="A362" s="478"/>
      <c r="B362" s="480"/>
      <c r="C362" s="335" t="s">
        <v>772</v>
      </c>
      <c r="D362" s="350">
        <f t="shared" si="90"/>
        <v>0.0014000000000000002</v>
      </c>
      <c r="E362" s="350">
        <f>E365+E366+E367+E368</f>
        <v>0.0002</v>
      </c>
      <c r="F362" s="350">
        <f aca="true" t="shared" si="92" ref="F362:K362">F365+F366+F367+F368</f>
        <v>0.0002</v>
      </c>
      <c r="G362" s="350">
        <f t="shared" si="92"/>
        <v>0.0002</v>
      </c>
      <c r="H362" s="350">
        <f t="shared" si="92"/>
        <v>0.0002</v>
      </c>
      <c r="I362" s="350">
        <f t="shared" si="92"/>
        <v>0.0002</v>
      </c>
      <c r="J362" s="350">
        <f t="shared" si="92"/>
        <v>0.0002</v>
      </c>
      <c r="K362" s="350">
        <f t="shared" si="92"/>
        <v>0.0002</v>
      </c>
    </row>
    <row r="363" spans="1:11" s="344" customFormat="1" ht="12.75" customHeight="1">
      <c r="A363" s="478"/>
      <c r="B363" s="480"/>
      <c r="C363" s="335" t="s">
        <v>773</v>
      </c>
      <c r="D363" s="342">
        <f t="shared" si="90"/>
        <v>0</v>
      </c>
      <c r="E363" s="342"/>
      <c r="F363" s="342"/>
      <c r="G363" s="342"/>
      <c r="H363" s="342"/>
      <c r="I363" s="342"/>
      <c r="J363" s="342"/>
      <c r="K363" s="342"/>
    </row>
    <row r="364" spans="1:11" s="344" customFormat="1" ht="12.75" customHeight="1">
      <c r="A364" s="478"/>
      <c r="B364" s="481"/>
      <c r="C364" s="335" t="s">
        <v>774</v>
      </c>
      <c r="D364" s="342">
        <f t="shared" si="90"/>
        <v>0</v>
      </c>
      <c r="E364" s="342"/>
      <c r="F364" s="342"/>
      <c r="G364" s="342"/>
      <c r="H364" s="342"/>
      <c r="I364" s="342"/>
      <c r="J364" s="342"/>
      <c r="K364" s="342"/>
    </row>
    <row r="365" spans="1:11" s="316" customFormat="1" ht="28.5" customHeight="1">
      <c r="A365" s="352" t="s">
        <v>995</v>
      </c>
      <c r="B365" s="337" t="s">
        <v>764</v>
      </c>
      <c r="C365" s="338" t="s">
        <v>772</v>
      </c>
      <c r="D365" s="353">
        <f t="shared" si="90"/>
        <v>0.00077</v>
      </c>
      <c r="E365" s="361">
        <v>0.00011</v>
      </c>
      <c r="F365" s="361">
        <v>0.00011</v>
      </c>
      <c r="G365" s="361">
        <v>0.00011</v>
      </c>
      <c r="H365" s="361">
        <v>0.00011</v>
      </c>
      <c r="I365" s="361">
        <v>0.00011</v>
      </c>
      <c r="J365" s="361">
        <v>0.00011</v>
      </c>
      <c r="K365" s="361">
        <v>0.00011</v>
      </c>
    </row>
    <row r="366" spans="1:11" s="316" customFormat="1" ht="27.75" customHeight="1">
      <c r="A366" s="352" t="s">
        <v>996</v>
      </c>
      <c r="B366" s="337" t="s">
        <v>765</v>
      </c>
      <c r="C366" s="338" t="s">
        <v>772</v>
      </c>
      <c r="D366" s="353">
        <f t="shared" si="90"/>
        <v>0.00035000000000000005</v>
      </c>
      <c r="E366" s="361">
        <v>5E-05</v>
      </c>
      <c r="F366" s="361">
        <v>5E-05</v>
      </c>
      <c r="G366" s="361">
        <v>5E-05</v>
      </c>
      <c r="H366" s="361">
        <v>5E-05</v>
      </c>
      <c r="I366" s="361">
        <v>5E-05</v>
      </c>
      <c r="J366" s="361">
        <v>5E-05</v>
      </c>
      <c r="K366" s="361">
        <v>5E-05</v>
      </c>
    </row>
    <row r="367" spans="1:11" s="316" customFormat="1" ht="27.75" customHeight="1">
      <c r="A367" s="352" t="s">
        <v>1001</v>
      </c>
      <c r="B367" s="337" t="s">
        <v>1000</v>
      </c>
      <c r="C367" s="338" t="s">
        <v>772</v>
      </c>
      <c r="D367" s="353">
        <f t="shared" si="90"/>
        <v>0.00014000000000000001</v>
      </c>
      <c r="E367" s="295">
        <f>20/1000000</f>
        <v>2E-05</v>
      </c>
      <c r="F367" s="295">
        <f aca="true" t="shared" si="93" ref="F367:K368">20/1000000</f>
        <v>2E-05</v>
      </c>
      <c r="G367" s="295">
        <f t="shared" si="93"/>
        <v>2E-05</v>
      </c>
      <c r="H367" s="295">
        <f t="shared" si="93"/>
        <v>2E-05</v>
      </c>
      <c r="I367" s="295">
        <f t="shared" si="93"/>
        <v>2E-05</v>
      </c>
      <c r="J367" s="295">
        <f t="shared" si="93"/>
        <v>2E-05</v>
      </c>
      <c r="K367" s="295">
        <f t="shared" si="93"/>
        <v>2E-05</v>
      </c>
    </row>
    <row r="368" spans="1:11" s="316" customFormat="1" ht="27.75" customHeight="1">
      <c r="A368" s="352" t="s">
        <v>1003</v>
      </c>
      <c r="B368" s="337" t="s">
        <v>1002</v>
      </c>
      <c r="C368" s="338" t="s">
        <v>772</v>
      </c>
      <c r="D368" s="353">
        <f t="shared" si="90"/>
        <v>0.00014000000000000001</v>
      </c>
      <c r="E368" s="295">
        <f>20/1000000</f>
        <v>2E-05</v>
      </c>
      <c r="F368" s="295">
        <f t="shared" si="93"/>
        <v>2E-05</v>
      </c>
      <c r="G368" s="295">
        <f t="shared" si="93"/>
        <v>2E-05</v>
      </c>
      <c r="H368" s="295">
        <f t="shared" si="93"/>
        <v>2E-05</v>
      </c>
      <c r="I368" s="295">
        <f t="shared" si="93"/>
        <v>2E-05</v>
      </c>
      <c r="J368" s="295">
        <f t="shared" si="93"/>
        <v>2E-05</v>
      </c>
      <c r="K368" s="295">
        <f t="shared" si="93"/>
        <v>2E-05</v>
      </c>
    </row>
    <row r="369" spans="1:11" ht="26.25" customHeight="1">
      <c r="A369" s="478"/>
      <c r="B369" s="478" t="s">
        <v>775</v>
      </c>
      <c r="C369" s="348" t="s">
        <v>805</v>
      </c>
      <c r="D369" s="341">
        <f t="shared" si="90"/>
        <v>658.4372844117647</v>
      </c>
      <c r="E369" s="341">
        <f>E370+E371+E372+E373+E374</f>
        <v>12.36583</v>
      </c>
      <c r="F369" s="341">
        <f aca="true" t="shared" si="94" ref="F369:K369">F370+F371+F372+F373+F374</f>
        <v>209.28017941176472</v>
      </c>
      <c r="G369" s="341">
        <f t="shared" si="94"/>
        <v>142.740475</v>
      </c>
      <c r="H369" s="341">
        <f t="shared" si="94"/>
        <v>130.8802</v>
      </c>
      <c r="I369" s="341">
        <f t="shared" si="94"/>
        <v>96.9202</v>
      </c>
      <c r="J369" s="341">
        <f t="shared" si="94"/>
        <v>54.800200000000004</v>
      </c>
      <c r="K369" s="341">
        <f t="shared" si="94"/>
        <v>11.4502</v>
      </c>
    </row>
    <row r="370" spans="1:11" ht="12.75" customHeight="1">
      <c r="A370" s="478"/>
      <c r="B370" s="478"/>
      <c r="C370" s="335" t="s">
        <v>770</v>
      </c>
      <c r="D370" s="346">
        <f>SUM(E370:K370)</f>
        <v>197.40000882352942</v>
      </c>
      <c r="E370" s="346">
        <f aca="true" t="shared" si="95" ref="E370:K374">E10+E150+E156+E162+E193+E199+E261+E328+E353+E360</f>
        <v>3.5845</v>
      </c>
      <c r="F370" s="346">
        <f t="shared" si="95"/>
        <v>62.780508823529416</v>
      </c>
      <c r="G370" s="346">
        <f t="shared" si="95"/>
        <v>42.8215</v>
      </c>
      <c r="H370" s="346">
        <f t="shared" si="95"/>
        <v>39.263</v>
      </c>
      <c r="I370" s="346">
        <f t="shared" si="95"/>
        <v>29.075499999999998</v>
      </c>
      <c r="J370" s="346">
        <f t="shared" si="95"/>
        <v>16.44</v>
      </c>
      <c r="K370" s="346">
        <f t="shared" si="95"/>
        <v>3.435</v>
      </c>
    </row>
    <row r="371" spans="1:11" ht="12.75" customHeight="1">
      <c r="A371" s="478"/>
      <c r="B371" s="478"/>
      <c r="C371" s="335" t="s">
        <v>771</v>
      </c>
      <c r="D371" s="346">
        <f>SUM(E371:K371)</f>
        <v>330.4814828235294</v>
      </c>
      <c r="E371" s="346">
        <f t="shared" si="95"/>
        <v>4.289424</v>
      </c>
      <c r="F371" s="346">
        <f t="shared" si="95"/>
        <v>106.0095588235294</v>
      </c>
      <c r="G371" s="346">
        <f t="shared" si="95"/>
        <v>70.9085</v>
      </c>
      <c r="H371" s="346">
        <f t="shared" si="95"/>
        <v>64.64949999999999</v>
      </c>
      <c r="I371" s="346">
        <f t="shared" si="95"/>
        <v>49.9465</v>
      </c>
      <c r="J371" s="346">
        <f t="shared" si="95"/>
        <v>29.793</v>
      </c>
      <c r="K371" s="346">
        <f t="shared" si="95"/>
        <v>4.885</v>
      </c>
    </row>
    <row r="372" spans="1:11" ht="12.75" customHeight="1">
      <c r="A372" s="478"/>
      <c r="B372" s="478"/>
      <c r="C372" s="335" t="s">
        <v>772</v>
      </c>
      <c r="D372" s="346">
        <f>SUM(E372:K372)</f>
        <v>8.31190794117647</v>
      </c>
      <c r="E372" s="346">
        <f t="shared" si="95"/>
        <v>0.39008</v>
      </c>
      <c r="F372" s="346">
        <f t="shared" si="95"/>
        <v>1.6755529411764707</v>
      </c>
      <c r="G372" s="346">
        <f t="shared" si="95"/>
        <v>1.465475</v>
      </c>
      <c r="H372" s="346">
        <f t="shared" si="95"/>
        <v>1.4451999999999998</v>
      </c>
      <c r="I372" s="346">
        <f t="shared" si="95"/>
        <v>1.3452</v>
      </c>
      <c r="J372" s="346">
        <f t="shared" si="95"/>
        <v>1.2952</v>
      </c>
      <c r="K372" s="346">
        <f t="shared" si="95"/>
        <v>0.6952</v>
      </c>
    </row>
    <row r="373" spans="1:11" ht="12.75" customHeight="1">
      <c r="A373" s="478"/>
      <c r="B373" s="478"/>
      <c r="C373" s="335" t="s">
        <v>773</v>
      </c>
      <c r="D373" s="346">
        <f>SUM(E373:K373)</f>
        <v>46.565529999999995</v>
      </c>
      <c r="E373" s="346">
        <f t="shared" si="95"/>
        <v>1.20503</v>
      </c>
      <c r="F373" s="346">
        <f t="shared" si="95"/>
        <v>14.977500000000001</v>
      </c>
      <c r="G373" s="346">
        <f t="shared" si="95"/>
        <v>11.744</v>
      </c>
      <c r="H373" s="346">
        <f t="shared" si="95"/>
        <v>11.4655</v>
      </c>
      <c r="I373" s="346">
        <f t="shared" si="95"/>
        <v>6.071</v>
      </c>
      <c r="J373" s="346">
        <f t="shared" si="95"/>
        <v>1.1025</v>
      </c>
      <c r="K373" s="346">
        <f t="shared" si="95"/>
        <v>0</v>
      </c>
    </row>
    <row r="374" spans="1:11" ht="12.75" customHeight="1">
      <c r="A374" s="478"/>
      <c r="B374" s="478"/>
      <c r="C374" s="335" t="s">
        <v>774</v>
      </c>
      <c r="D374" s="346">
        <f>SUM(E374:K374)</f>
        <v>75.67835482352942</v>
      </c>
      <c r="E374" s="346">
        <f t="shared" si="95"/>
        <v>2.896796</v>
      </c>
      <c r="F374" s="346">
        <f t="shared" si="95"/>
        <v>23.837058823529414</v>
      </c>
      <c r="G374" s="346">
        <f t="shared" si="95"/>
        <v>15.800999999999998</v>
      </c>
      <c r="H374" s="346">
        <f t="shared" si="95"/>
        <v>14.056999999999999</v>
      </c>
      <c r="I374" s="346">
        <f t="shared" si="95"/>
        <v>10.482000000000001</v>
      </c>
      <c r="J374" s="346">
        <f t="shared" si="95"/>
        <v>6.1695</v>
      </c>
      <c r="K374" s="346">
        <f t="shared" si="95"/>
        <v>2.435</v>
      </c>
    </row>
    <row r="377" ht="12.75">
      <c r="D377" s="359">
        <f>D379-D369</f>
        <v>11.808615588235284</v>
      </c>
    </row>
    <row r="379" spans="4:11" ht="12.75">
      <c r="D379" s="330">
        <v>670.2459</v>
      </c>
      <c r="E379" s="330">
        <v>79.16544999999999</v>
      </c>
      <c r="F379" s="330">
        <v>154.29045</v>
      </c>
      <c r="G379" s="330">
        <v>142.74</v>
      </c>
      <c r="H379" s="330">
        <v>130.88</v>
      </c>
      <c r="I379" s="330">
        <v>96.91999999999999</v>
      </c>
      <c r="J379" s="330">
        <v>54.800000000000004</v>
      </c>
      <c r="K379" s="330">
        <v>11.450000000000001</v>
      </c>
    </row>
    <row r="380" spans="4:11" ht="12.75">
      <c r="D380" s="330">
        <v>201.0689</v>
      </c>
      <c r="E380" s="330">
        <v>23.74845</v>
      </c>
      <c r="F380" s="330">
        <v>46.285450000000004</v>
      </c>
      <c r="G380" s="330">
        <v>42.8215</v>
      </c>
      <c r="H380" s="330">
        <v>39.263</v>
      </c>
      <c r="I380" s="330">
        <v>29.075499999999998</v>
      </c>
      <c r="J380" s="330">
        <v>16.44</v>
      </c>
      <c r="K380" s="330">
        <v>3.435</v>
      </c>
    </row>
    <row r="381" spans="4:11" ht="12.75">
      <c r="D381" s="330">
        <v>336.1035</v>
      </c>
      <c r="E381" s="330">
        <v>40.198</v>
      </c>
      <c r="F381" s="330">
        <v>75.723</v>
      </c>
      <c r="G381" s="330">
        <v>70.9085</v>
      </c>
      <c r="H381" s="330">
        <v>64.64949999999999</v>
      </c>
      <c r="I381" s="330">
        <v>49.9465</v>
      </c>
      <c r="J381" s="330">
        <v>29.793</v>
      </c>
      <c r="K381" s="330">
        <v>4.885</v>
      </c>
    </row>
    <row r="382" spans="4:11" ht="12.75">
      <c r="D382" s="330">
        <v>8.565</v>
      </c>
      <c r="E382" s="330">
        <v>1.105</v>
      </c>
      <c r="F382" s="330">
        <v>1.2149999999999999</v>
      </c>
      <c r="G382" s="330">
        <v>1.465</v>
      </c>
      <c r="H382" s="330">
        <v>1.4449999999999998</v>
      </c>
      <c r="I382" s="330">
        <v>1.345</v>
      </c>
      <c r="J382" s="330">
        <v>1.295</v>
      </c>
      <c r="K382" s="330">
        <v>0.6950000000000001</v>
      </c>
    </row>
    <row r="383" spans="4:11" ht="12.75">
      <c r="D383" s="330">
        <v>48.019499999999994</v>
      </c>
      <c r="E383" s="330">
        <v>4.0085</v>
      </c>
      <c r="F383" s="330">
        <v>13.628</v>
      </c>
      <c r="G383" s="330">
        <v>11.744</v>
      </c>
      <c r="H383" s="330">
        <v>11.4655</v>
      </c>
      <c r="I383" s="330">
        <v>6.071</v>
      </c>
      <c r="J383" s="330">
        <v>1.1025</v>
      </c>
      <c r="K383" s="330">
        <v>0</v>
      </c>
    </row>
    <row r="384" spans="4:11" ht="12.75">
      <c r="D384" s="330">
        <v>76.489</v>
      </c>
      <c r="E384" s="330">
        <v>10.1055</v>
      </c>
      <c r="F384" s="330">
        <v>17.439</v>
      </c>
      <c r="G384" s="330">
        <v>15.800999999999998</v>
      </c>
      <c r="H384" s="330">
        <v>14.056999999999999</v>
      </c>
      <c r="I384" s="330">
        <v>10.482000000000001</v>
      </c>
      <c r="J384" s="330">
        <v>6.1695</v>
      </c>
      <c r="K384" s="330">
        <v>2.435</v>
      </c>
    </row>
  </sheetData>
  <sheetProtection/>
  <mergeCells count="126">
    <mergeCell ref="A334:A339"/>
    <mergeCell ref="B334:B339"/>
    <mergeCell ref="A327:A332"/>
    <mergeCell ref="B327:B332"/>
    <mergeCell ref="A211:A216"/>
    <mergeCell ref="B211:B216"/>
    <mergeCell ref="A291:A296"/>
    <mergeCell ref="B291:B296"/>
    <mergeCell ref="A297:A302"/>
    <mergeCell ref="B297:B302"/>
    <mergeCell ref="B346:B351"/>
    <mergeCell ref="B359:B364"/>
    <mergeCell ref="A315:A320"/>
    <mergeCell ref="B315:B320"/>
    <mergeCell ref="A321:A326"/>
    <mergeCell ref="B321:B326"/>
    <mergeCell ref="A352:A357"/>
    <mergeCell ref="B352:B357"/>
    <mergeCell ref="A340:A345"/>
    <mergeCell ref="B340:B345"/>
    <mergeCell ref="A309:A314"/>
    <mergeCell ref="B309:B314"/>
    <mergeCell ref="B273:B278"/>
    <mergeCell ref="A260:A265"/>
    <mergeCell ref="A279:A284"/>
    <mergeCell ref="B279:B284"/>
    <mergeCell ref="A285:A290"/>
    <mergeCell ref="B285:B290"/>
    <mergeCell ref="A303:A308"/>
    <mergeCell ref="B303:B308"/>
    <mergeCell ref="A82:A87"/>
    <mergeCell ref="A242:A247"/>
    <mergeCell ref="B242:B247"/>
    <mergeCell ref="B155:B160"/>
    <mergeCell ref="B149:B154"/>
    <mergeCell ref="A149:A154"/>
    <mergeCell ref="A174:A179"/>
    <mergeCell ref="B174:B179"/>
    <mergeCell ref="A192:A197"/>
    <mergeCell ref="A101:A106"/>
    <mergeCell ref="B101:B106"/>
    <mergeCell ref="A161:A166"/>
    <mergeCell ref="A186:A191"/>
    <mergeCell ref="A113:A118"/>
    <mergeCell ref="B113:B118"/>
    <mergeCell ref="B95:B100"/>
    <mergeCell ref="A95:A100"/>
    <mergeCell ref="A125:A130"/>
    <mergeCell ref="B125:B130"/>
    <mergeCell ref="A131:A136"/>
    <mergeCell ref="B82:B87"/>
    <mergeCell ref="B46:B51"/>
    <mergeCell ref="B40:B45"/>
    <mergeCell ref="B16:B21"/>
    <mergeCell ref="B58:B63"/>
    <mergeCell ref="B70:B75"/>
    <mergeCell ref="B52:B57"/>
    <mergeCell ref="A9:A14"/>
    <mergeCell ref="A4:A7"/>
    <mergeCell ref="C4:K4"/>
    <mergeCell ref="C5:C7"/>
    <mergeCell ref="D5:K5"/>
    <mergeCell ref="D6:D7"/>
    <mergeCell ref="E6:K6"/>
    <mergeCell ref="A58:A63"/>
    <mergeCell ref="A28:A33"/>
    <mergeCell ref="B28:B33"/>
    <mergeCell ref="A2:K2"/>
    <mergeCell ref="B34:B39"/>
    <mergeCell ref="B4:B7"/>
    <mergeCell ref="B9:B14"/>
    <mergeCell ref="A22:A27"/>
    <mergeCell ref="B22:B27"/>
    <mergeCell ref="A16:A21"/>
    <mergeCell ref="A119:A124"/>
    <mergeCell ref="B119:B124"/>
    <mergeCell ref="A88:A93"/>
    <mergeCell ref="A70:A75"/>
    <mergeCell ref="A34:A39"/>
    <mergeCell ref="A76:A81"/>
    <mergeCell ref="B76:B81"/>
    <mergeCell ref="A46:A51"/>
    <mergeCell ref="A40:A45"/>
    <mergeCell ref="A52:A57"/>
    <mergeCell ref="B192:B197"/>
    <mergeCell ref="B131:B136"/>
    <mergeCell ref="A64:A69"/>
    <mergeCell ref="B64:B69"/>
    <mergeCell ref="B161:B166"/>
    <mergeCell ref="B137:B142"/>
    <mergeCell ref="A107:A112"/>
    <mergeCell ref="B107:B112"/>
    <mergeCell ref="A137:A142"/>
    <mergeCell ref="B88:B93"/>
    <mergeCell ref="A155:A160"/>
    <mergeCell ref="A180:A185"/>
    <mergeCell ref="B180:B185"/>
    <mergeCell ref="A168:A173"/>
    <mergeCell ref="B168:B173"/>
    <mergeCell ref="B186:B191"/>
    <mergeCell ref="B198:B203"/>
    <mergeCell ref="A198:A203"/>
    <mergeCell ref="A205:A210"/>
    <mergeCell ref="B205:B210"/>
    <mergeCell ref="B223:B228"/>
    <mergeCell ref="A229:A234"/>
    <mergeCell ref="A217:A222"/>
    <mergeCell ref="B217:B222"/>
    <mergeCell ref="A223:A228"/>
    <mergeCell ref="A248:A253"/>
    <mergeCell ref="B248:B253"/>
    <mergeCell ref="B229:B234"/>
    <mergeCell ref="A273:A278"/>
    <mergeCell ref="B267:B272"/>
    <mergeCell ref="A235:A241"/>
    <mergeCell ref="B235:B241"/>
    <mergeCell ref="A143:A148"/>
    <mergeCell ref="B143:B148"/>
    <mergeCell ref="A369:A374"/>
    <mergeCell ref="B369:B374"/>
    <mergeCell ref="A346:A351"/>
    <mergeCell ref="A359:A364"/>
    <mergeCell ref="A254:A259"/>
    <mergeCell ref="B254:B259"/>
    <mergeCell ref="B260:B265"/>
    <mergeCell ref="A267:A272"/>
  </mergeCells>
  <printOptions/>
  <pageMargins left="0.5905511811023623" right="0.1968503937007874" top="0.7480314960629921" bottom="0.7480314960629921" header="0.31496062992125984" footer="0.31496062992125984"/>
  <pageSetup fitToHeight="17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4">
      <selection activeCell="A137" sqref="A137:A141"/>
    </sheetView>
  </sheetViews>
  <sheetFormatPr defaultColWidth="9.00390625" defaultRowHeight="12.75" outlineLevelRow="2"/>
  <cols>
    <col min="1" max="1" width="10.375" style="0" bestFit="1" customWidth="1"/>
    <col min="2" max="2" width="36.25390625" style="0" customWidth="1"/>
    <col min="4" max="5" width="10.875" style="0" bestFit="1" customWidth="1"/>
    <col min="6" max="6" width="12.75390625" style="0" customWidth="1"/>
    <col min="7" max="7" width="20.25390625" style="0" customWidth="1"/>
    <col min="8" max="8" width="16.125" style="0" customWidth="1"/>
    <col min="9" max="9" width="18.625" style="0" customWidth="1"/>
  </cols>
  <sheetData>
    <row r="1" spans="1:9" s="140" customFormat="1" ht="21" customHeight="1">
      <c r="A1" s="417" t="s">
        <v>352</v>
      </c>
      <c r="B1" s="417"/>
      <c r="C1" s="142"/>
      <c r="D1" s="142"/>
      <c r="E1" s="142"/>
      <c r="F1" s="142"/>
      <c r="G1" s="143"/>
      <c r="H1" s="141" t="s">
        <v>353</v>
      </c>
      <c r="I1" s="144"/>
    </row>
    <row r="2" spans="1:9" s="140" customFormat="1" ht="21" customHeight="1">
      <c r="A2" s="417" t="s">
        <v>345</v>
      </c>
      <c r="B2" s="417"/>
      <c r="C2" s="145"/>
      <c r="D2" s="142"/>
      <c r="E2" s="142"/>
      <c r="F2" s="142"/>
      <c r="G2" s="143"/>
      <c r="H2" s="141" t="s">
        <v>45</v>
      </c>
      <c r="I2" s="145"/>
    </row>
    <row r="3" spans="1:9" s="140" customFormat="1" ht="21" customHeight="1">
      <c r="A3" s="417" t="s">
        <v>354</v>
      </c>
      <c r="B3" s="417"/>
      <c r="C3" s="142"/>
      <c r="D3" s="142"/>
      <c r="E3" s="142"/>
      <c r="F3" s="142"/>
      <c r="G3" s="143"/>
      <c r="H3" s="141" t="s">
        <v>355</v>
      </c>
      <c r="I3" s="145"/>
    </row>
    <row r="4" spans="1:9" s="140" customFormat="1" ht="21" customHeight="1">
      <c r="A4" s="417" t="s">
        <v>356</v>
      </c>
      <c r="B4" s="417"/>
      <c r="C4" s="145"/>
      <c r="D4" s="142"/>
      <c r="E4" s="142"/>
      <c r="F4" s="142"/>
      <c r="G4" s="143"/>
      <c r="H4" s="141" t="s">
        <v>357</v>
      </c>
      <c r="I4" s="145"/>
    </row>
    <row r="5" spans="1:9" s="140" customFormat="1" ht="21" customHeight="1">
      <c r="A5" s="417" t="s">
        <v>344</v>
      </c>
      <c r="B5" s="417"/>
      <c r="C5" s="145"/>
      <c r="D5" s="142"/>
      <c r="E5" s="142"/>
      <c r="F5" s="142"/>
      <c r="G5" s="143"/>
      <c r="H5" s="141" t="s">
        <v>344</v>
      </c>
      <c r="I5" s="145"/>
    </row>
    <row r="6" spans="1:9" ht="21" customHeight="1">
      <c r="A6" s="418" t="s">
        <v>225</v>
      </c>
      <c r="B6" s="418"/>
      <c r="C6" s="418"/>
      <c r="D6" s="418"/>
      <c r="E6" s="418"/>
      <c r="F6" s="418"/>
      <c r="G6" s="418"/>
      <c r="H6" s="418"/>
      <c r="I6" s="418"/>
    </row>
    <row r="7" spans="1:9" ht="38.25">
      <c r="A7" s="146" t="s">
        <v>46</v>
      </c>
      <c r="B7" s="146" t="s">
        <v>47</v>
      </c>
      <c r="C7" s="146" t="s">
        <v>48</v>
      </c>
      <c r="D7" s="146" t="s">
        <v>49</v>
      </c>
      <c r="E7" s="146" t="s">
        <v>50</v>
      </c>
      <c r="F7" s="146" t="s">
        <v>51</v>
      </c>
      <c r="G7" s="146" t="s">
        <v>52</v>
      </c>
      <c r="H7" s="146" t="s">
        <v>53</v>
      </c>
      <c r="I7" s="146" t="s">
        <v>54</v>
      </c>
    </row>
    <row r="8" spans="1:9" ht="12.7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</row>
    <row r="9" spans="1:9" ht="49.5" customHeight="1">
      <c r="A9" s="148" t="s">
        <v>55</v>
      </c>
      <c r="B9" s="149" t="s">
        <v>56</v>
      </c>
      <c r="C9" s="148" t="s">
        <v>1</v>
      </c>
      <c r="D9" s="150">
        <f>E9</f>
        <v>6522.094723577054</v>
      </c>
      <c r="E9" s="150">
        <f>E10+E77+E81+E87+E94+E100+E72</f>
        <v>6522.094723577054</v>
      </c>
      <c r="F9" s="150" t="s">
        <v>57</v>
      </c>
      <c r="G9" s="151" t="s">
        <v>358</v>
      </c>
      <c r="H9" s="152" t="s">
        <v>59</v>
      </c>
      <c r="I9" s="148"/>
    </row>
    <row r="10" spans="1:9" ht="19.5" customHeight="1">
      <c r="A10" s="153" t="s">
        <v>235</v>
      </c>
      <c r="B10" s="154" t="s">
        <v>28</v>
      </c>
      <c r="C10" s="155" t="s">
        <v>25</v>
      </c>
      <c r="D10" s="155"/>
      <c r="E10" s="156">
        <f>E11+E20+E29+E38+E45+E53+E62</f>
        <v>5276.488876094081</v>
      </c>
      <c r="F10" s="157" t="s">
        <v>174</v>
      </c>
      <c r="G10" s="158"/>
      <c r="H10" s="159"/>
      <c r="I10" s="160"/>
    </row>
    <row r="11" spans="1:9" ht="10.5" customHeight="1">
      <c r="A11" s="161" t="s">
        <v>236</v>
      </c>
      <c r="B11" s="162" t="s">
        <v>109</v>
      </c>
      <c r="C11" s="163" t="s">
        <v>25</v>
      </c>
      <c r="D11" s="164">
        <f>D12</f>
        <v>1481</v>
      </c>
      <c r="E11" s="165">
        <f>SUM(E12:E19)</f>
        <v>1289.8652329170047</v>
      </c>
      <c r="F11" s="166" t="s">
        <v>297</v>
      </c>
      <c r="G11" s="410"/>
      <c r="H11" s="410"/>
      <c r="I11" s="412"/>
    </row>
    <row r="12" spans="1:9" ht="15.75" customHeight="1" outlineLevel="1">
      <c r="A12" s="167">
        <v>1</v>
      </c>
      <c r="B12" s="168" t="s">
        <v>162</v>
      </c>
      <c r="C12" s="169" t="s">
        <v>25</v>
      </c>
      <c r="D12" s="170">
        <f>'[1]Свод'!I70</f>
        <v>1481</v>
      </c>
      <c r="E12" s="171">
        <f>'[1]Свод'!AH70+'[1]Свод'!AH71</f>
        <v>314.92902219999996</v>
      </c>
      <c r="F12" s="172" t="s">
        <v>297</v>
      </c>
      <c r="G12" s="411"/>
      <c r="H12" s="411"/>
      <c r="I12" s="413"/>
    </row>
    <row r="13" spans="1:9" ht="12.75" customHeight="1" outlineLevel="1">
      <c r="A13" s="167">
        <v>2</v>
      </c>
      <c r="B13" s="173" t="s">
        <v>29</v>
      </c>
      <c r="C13" s="174" t="s">
        <v>2</v>
      </c>
      <c r="D13" s="170">
        <f>'[1]Свод'!C72+'[1]Свод'!C73</f>
        <v>4294.9</v>
      </c>
      <c r="E13" s="171">
        <f>'[1]Свод'!AH72+'[1]Свод'!AH73</f>
        <v>70.90983139381896</v>
      </c>
      <c r="F13" s="172" t="s">
        <v>297</v>
      </c>
      <c r="G13" s="411"/>
      <c r="H13" s="411"/>
      <c r="I13" s="413"/>
    </row>
    <row r="14" spans="1:9" ht="12.75" outlineLevel="1">
      <c r="A14" s="167">
        <v>3</v>
      </c>
      <c r="B14" s="175" t="s">
        <v>30</v>
      </c>
      <c r="C14" s="174" t="s">
        <v>2</v>
      </c>
      <c r="D14" s="170">
        <f>'[1]Свод'!I74</f>
        <v>4294.9</v>
      </c>
      <c r="E14" s="171">
        <f>'[1]Свод'!AH74</f>
        <v>37.230535872727266</v>
      </c>
      <c r="F14" s="172" t="s">
        <v>297</v>
      </c>
      <c r="G14" s="411"/>
      <c r="H14" s="411"/>
      <c r="I14" s="413"/>
    </row>
    <row r="15" spans="1:9" ht="25.5" outlineLevel="1">
      <c r="A15" s="167">
        <v>4</v>
      </c>
      <c r="B15" s="176" t="s">
        <v>293</v>
      </c>
      <c r="C15" s="174" t="s">
        <v>2</v>
      </c>
      <c r="D15" s="170">
        <f>'[1]Свод'!I75+'[1]Свод'!I76</f>
        <v>322</v>
      </c>
      <c r="E15" s="171">
        <f>'[1]Свод'!AH75+'[1]Свод'!AH76</f>
        <v>3.4596074588235295</v>
      </c>
      <c r="F15" s="172" t="s">
        <v>297</v>
      </c>
      <c r="G15" s="411"/>
      <c r="H15" s="411"/>
      <c r="I15" s="413"/>
    </row>
    <row r="16" spans="1:9" ht="25.5" outlineLevel="1">
      <c r="A16" s="167">
        <v>5</v>
      </c>
      <c r="B16" s="176" t="s">
        <v>32</v>
      </c>
      <c r="C16" s="174" t="s">
        <v>2</v>
      </c>
      <c r="D16" s="170">
        <f>'[1]Свод'!I77</f>
        <v>1269.14295</v>
      </c>
      <c r="E16" s="171">
        <f>'[1]Свод'!AH77</f>
        <v>113.18198353993714</v>
      </c>
      <c r="F16" s="172" t="s">
        <v>297</v>
      </c>
      <c r="G16" s="411"/>
      <c r="H16" s="411"/>
      <c r="I16" s="413"/>
    </row>
    <row r="17" spans="1:9" ht="12.75" outlineLevel="1">
      <c r="A17" s="167">
        <v>6</v>
      </c>
      <c r="B17" s="177" t="s">
        <v>31</v>
      </c>
      <c r="C17" s="174" t="s">
        <v>2</v>
      </c>
      <c r="D17" s="178">
        <f>'[1]Свод'!I78</f>
        <v>644.2349999999999</v>
      </c>
      <c r="E17" s="171">
        <f>'[1]Свод'!AH78</f>
        <v>10.159585949999999</v>
      </c>
      <c r="F17" s="172" t="s">
        <v>297</v>
      </c>
      <c r="G17" s="411"/>
      <c r="H17" s="411"/>
      <c r="I17" s="413"/>
    </row>
    <row r="18" spans="1:9" ht="25.5" outlineLevel="1">
      <c r="A18" s="167">
        <v>7</v>
      </c>
      <c r="B18" s="176" t="s">
        <v>295</v>
      </c>
      <c r="C18" s="174" t="s">
        <v>2</v>
      </c>
      <c r="D18" s="178">
        <f>'[1]Свод'!I79+'[1]Свод'!I80</f>
        <v>2619</v>
      </c>
      <c r="E18" s="171">
        <f>'[1]Свод'!AH79+'[1]Свод'!AH80</f>
        <v>31.940255658823528</v>
      </c>
      <c r="F18" s="172" t="s">
        <v>359</v>
      </c>
      <c r="G18" s="411"/>
      <c r="H18" s="411"/>
      <c r="I18" s="413"/>
    </row>
    <row r="19" spans="1:9" ht="12.75" customHeight="1" outlineLevel="1">
      <c r="A19" s="167">
        <v>8</v>
      </c>
      <c r="B19" s="176" t="s">
        <v>33</v>
      </c>
      <c r="C19" s="179" t="s">
        <v>2</v>
      </c>
      <c r="D19" s="170">
        <f>'[1]Свод'!I81</f>
        <v>3732</v>
      </c>
      <c r="E19" s="171">
        <f>'[1]Свод'!AH81+('[1]Свод'!AH201/14946)*'[1]Свод'!I81</f>
        <v>708.0544108428744</v>
      </c>
      <c r="F19" s="172" t="s">
        <v>359</v>
      </c>
      <c r="G19" s="411"/>
      <c r="H19" s="411"/>
      <c r="I19" s="413"/>
    </row>
    <row r="20" spans="1:9" ht="10.5" customHeight="1">
      <c r="A20" s="166" t="s">
        <v>243</v>
      </c>
      <c r="B20" s="162" t="s">
        <v>110</v>
      </c>
      <c r="C20" s="180" t="s">
        <v>25</v>
      </c>
      <c r="D20" s="181">
        <f>D21</f>
        <v>312</v>
      </c>
      <c r="E20" s="165">
        <f>SUM(E21:E28)</f>
        <v>336.14254141967626</v>
      </c>
      <c r="F20" s="166" t="s">
        <v>176</v>
      </c>
      <c r="G20" s="411"/>
      <c r="H20" s="411"/>
      <c r="I20" s="413"/>
    </row>
    <row r="21" spans="1:9" ht="12.75" outlineLevel="1">
      <c r="A21" s="167">
        <v>1</v>
      </c>
      <c r="B21" s="182" t="s">
        <v>34</v>
      </c>
      <c r="C21" s="179" t="s">
        <v>25</v>
      </c>
      <c r="D21" s="170">
        <f>'[1]Свод'!I83</f>
        <v>312</v>
      </c>
      <c r="E21" s="171">
        <f>'[1]Свод'!AH83+'[1]Свод'!AH84</f>
        <v>85.62777600000003</v>
      </c>
      <c r="F21" s="172" t="s">
        <v>176</v>
      </c>
      <c r="G21" s="411"/>
      <c r="H21" s="411"/>
      <c r="I21" s="413"/>
    </row>
    <row r="22" spans="1:9" ht="12.75" outlineLevel="1">
      <c r="A22" s="167">
        <v>2</v>
      </c>
      <c r="B22" s="173" t="s">
        <v>29</v>
      </c>
      <c r="C22" s="174" t="s">
        <v>2</v>
      </c>
      <c r="D22" s="179">
        <f>'[1]Свод'!C85+'[1]Свод'!C86</f>
        <v>1248</v>
      </c>
      <c r="E22" s="171">
        <f>'[1]Свод'!AH85+'[1]Свод'!AH86</f>
        <v>20.71115300910737</v>
      </c>
      <c r="F22" s="172" t="s">
        <v>176</v>
      </c>
      <c r="G22" s="411"/>
      <c r="H22" s="411"/>
      <c r="I22" s="413"/>
    </row>
    <row r="23" spans="1:9" ht="12.75" outlineLevel="1">
      <c r="A23" s="167">
        <v>3</v>
      </c>
      <c r="B23" s="176" t="s">
        <v>30</v>
      </c>
      <c r="C23" s="174" t="s">
        <v>2</v>
      </c>
      <c r="D23" s="170">
        <f>'[1]Свод'!I87</f>
        <v>1248</v>
      </c>
      <c r="E23" s="171">
        <f>'[1]Свод'!AH87</f>
        <v>10.818344727272729</v>
      </c>
      <c r="F23" s="172" t="s">
        <v>176</v>
      </c>
      <c r="G23" s="411"/>
      <c r="H23" s="411"/>
      <c r="I23" s="413"/>
    </row>
    <row r="24" spans="1:9" ht="25.5" outlineLevel="1">
      <c r="A24" s="167">
        <v>4</v>
      </c>
      <c r="B24" s="176" t="s">
        <v>293</v>
      </c>
      <c r="C24" s="174" t="s">
        <v>2</v>
      </c>
      <c r="D24" s="170">
        <f>'[1]Свод'!I88+'[1]Свод'!I89</f>
        <v>94</v>
      </c>
      <c r="E24" s="171">
        <f>'[1]Свод'!AH88+'[1]Свод'!AH89</f>
        <v>1.0145563529411765</v>
      </c>
      <c r="F24" s="172" t="s">
        <v>176</v>
      </c>
      <c r="G24" s="411"/>
      <c r="H24" s="411"/>
      <c r="I24" s="413"/>
    </row>
    <row r="25" spans="1:9" ht="12.75" outlineLevel="1">
      <c r="A25" s="167">
        <v>5</v>
      </c>
      <c r="B25" s="176" t="s">
        <v>35</v>
      </c>
      <c r="C25" s="174" t="s">
        <v>2</v>
      </c>
      <c r="D25" s="170">
        <f>'[1]Свод'!I90</f>
        <v>368.784</v>
      </c>
      <c r="E25" s="171">
        <f>'[1]Свод'!AH90</f>
        <v>32.88810343845993</v>
      </c>
      <c r="F25" s="172" t="s">
        <v>176</v>
      </c>
      <c r="G25" s="411"/>
      <c r="H25" s="411"/>
      <c r="I25" s="413"/>
    </row>
    <row r="26" spans="1:9" ht="12.75" outlineLevel="1">
      <c r="A26" s="167">
        <v>6</v>
      </c>
      <c r="B26" s="177" t="s">
        <v>31</v>
      </c>
      <c r="C26" s="174" t="s">
        <v>2</v>
      </c>
      <c r="D26" s="170">
        <f>'[1]Свод'!I91</f>
        <v>187.2</v>
      </c>
      <c r="E26" s="171">
        <f>'[1]Свод'!AH91</f>
        <v>2.9521439999999997</v>
      </c>
      <c r="F26" s="172" t="s">
        <v>176</v>
      </c>
      <c r="G26" s="411"/>
      <c r="H26" s="411"/>
      <c r="I26" s="413"/>
    </row>
    <row r="27" spans="1:9" ht="25.5" outlineLevel="1">
      <c r="A27" s="167">
        <v>7</v>
      </c>
      <c r="B27" s="176" t="s">
        <v>295</v>
      </c>
      <c r="C27" s="174" t="s">
        <v>2</v>
      </c>
      <c r="D27" s="170">
        <f>'[1]Свод'!I92+'[1]Свод'!I93</f>
        <v>653</v>
      </c>
      <c r="E27" s="171">
        <f>'[1]Свод'!AH92+'[1]Свод'!AH93</f>
        <v>7.544265941176471</v>
      </c>
      <c r="F27" s="172" t="s">
        <v>360</v>
      </c>
      <c r="G27" s="411"/>
      <c r="H27" s="411"/>
      <c r="I27" s="413"/>
    </row>
    <row r="28" spans="1:9" ht="12.75" outlineLevel="1">
      <c r="A28" s="167">
        <v>8</v>
      </c>
      <c r="B28" s="176" t="s">
        <v>33</v>
      </c>
      <c r="C28" s="174" t="s">
        <v>2</v>
      </c>
      <c r="D28" s="174">
        <f>'[1]Свод'!I94</f>
        <v>933</v>
      </c>
      <c r="E28" s="171">
        <f>'[1]Свод'!AH94+(('[1]Свод'!AH203+'[1]Свод'!AH204)/14946)*'[1]Свод'!I94</f>
        <v>174.5861979507186</v>
      </c>
      <c r="F28" s="172" t="s">
        <v>360</v>
      </c>
      <c r="G28" s="411"/>
      <c r="H28" s="411"/>
      <c r="I28" s="413"/>
    </row>
    <row r="29" spans="1:9" ht="10.5" customHeight="1">
      <c r="A29" s="166" t="s">
        <v>244</v>
      </c>
      <c r="B29" s="162" t="s">
        <v>111</v>
      </c>
      <c r="C29" s="180" t="s">
        <v>25</v>
      </c>
      <c r="D29" s="180">
        <v>2133</v>
      </c>
      <c r="E29" s="165">
        <f>SUM(E30:E37)</f>
        <v>2715.1870009421345</v>
      </c>
      <c r="F29" s="166" t="s">
        <v>175</v>
      </c>
      <c r="G29" s="411"/>
      <c r="H29" s="411"/>
      <c r="I29" s="413"/>
    </row>
    <row r="30" spans="1:9" ht="14.25" customHeight="1" outlineLevel="1">
      <c r="A30" s="167">
        <v>1</v>
      </c>
      <c r="B30" s="168" t="s">
        <v>162</v>
      </c>
      <c r="C30" s="174" t="s">
        <v>25</v>
      </c>
      <c r="D30" s="174">
        <v>2133</v>
      </c>
      <c r="E30" s="171">
        <f>'[1]Свод'!AH96+'[1]Свод'!AH97</f>
        <v>585.397584</v>
      </c>
      <c r="F30" s="172" t="s">
        <v>175</v>
      </c>
      <c r="G30" s="411"/>
      <c r="H30" s="411"/>
      <c r="I30" s="413"/>
    </row>
    <row r="31" spans="1:9" ht="12.75" outlineLevel="1">
      <c r="A31" s="167">
        <v>2</v>
      </c>
      <c r="B31" s="173" t="s">
        <v>29</v>
      </c>
      <c r="C31" s="174" t="s">
        <v>2</v>
      </c>
      <c r="D31" s="179">
        <v>8532</v>
      </c>
      <c r="E31" s="171">
        <f>'[1]Свод'!AH98+'[1]Свод'!AH99</f>
        <v>119.42549995861161</v>
      </c>
      <c r="F31" s="172" t="s">
        <v>175</v>
      </c>
      <c r="G31" s="411"/>
      <c r="H31" s="411"/>
      <c r="I31" s="413"/>
    </row>
    <row r="32" spans="1:9" ht="12.75" outlineLevel="1">
      <c r="A32" s="167">
        <v>3</v>
      </c>
      <c r="B32" s="176" t="s">
        <v>30</v>
      </c>
      <c r="C32" s="174" t="s">
        <v>2</v>
      </c>
      <c r="D32" s="179">
        <v>8532</v>
      </c>
      <c r="E32" s="171">
        <f>'[1]Свод'!AH100</f>
        <v>78.22695461538461</v>
      </c>
      <c r="F32" s="172" t="s">
        <v>175</v>
      </c>
      <c r="G32" s="411"/>
      <c r="H32" s="411"/>
      <c r="I32" s="413"/>
    </row>
    <row r="33" spans="1:9" ht="25.5" outlineLevel="1">
      <c r="A33" s="167">
        <v>4</v>
      </c>
      <c r="B33" s="176" t="s">
        <v>293</v>
      </c>
      <c r="C33" s="174" t="s">
        <v>2</v>
      </c>
      <c r="D33" s="179">
        <v>640</v>
      </c>
      <c r="E33" s="171">
        <f>'[1]Свод'!AH101+'[1]Свод'!AH102</f>
        <v>6.91104</v>
      </c>
      <c r="F33" s="172" t="s">
        <v>175</v>
      </c>
      <c r="G33" s="411"/>
      <c r="H33" s="411"/>
      <c r="I33" s="413"/>
    </row>
    <row r="34" spans="1:9" ht="12.75" outlineLevel="1">
      <c r="A34" s="167">
        <v>5</v>
      </c>
      <c r="B34" s="176" t="s">
        <v>35</v>
      </c>
      <c r="C34" s="174" t="s">
        <v>2</v>
      </c>
      <c r="D34" s="178">
        <v>2521</v>
      </c>
      <c r="E34" s="171">
        <f>'[1]Свод'!AH103</f>
        <v>224.84078408408664</v>
      </c>
      <c r="F34" s="172" t="s">
        <v>175</v>
      </c>
      <c r="G34" s="411"/>
      <c r="H34" s="411"/>
      <c r="I34" s="413"/>
    </row>
    <row r="35" spans="1:9" ht="12.75" outlineLevel="1">
      <c r="A35" s="167">
        <v>6</v>
      </c>
      <c r="B35" s="177" t="s">
        <v>31</v>
      </c>
      <c r="C35" s="174" t="s">
        <v>2</v>
      </c>
      <c r="D35" s="178">
        <v>1280</v>
      </c>
      <c r="E35" s="171">
        <f>'[1]Свод'!AH104</f>
        <v>20.182446</v>
      </c>
      <c r="F35" s="172" t="s">
        <v>175</v>
      </c>
      <c r="G35" s="411"/>
      <c r="H35" s="411"/>
      <c r="I35" s="413"/>
    </row>
    <row r="36" spans="1:9" ht="25.5" outlineLevel="1">
      <c r="A36" s="167">
        <v>7</v>
      </c>
      <c r="B36" s="176" t="s">
        <v>295</v>
      </c>
      <c r="C36" s="174" t="s">
        <v>2</v>
      </c>
      <c r="D36" s="178">
        <f>'[1]Свод'!I105+'[1]Свод'!I106</f>
        <v>5945</v>
      </c>
      <c r="E36" s="171">
        <f>'[1]Свод'!AH105+'[1]Свод'!AH106</f>
        <v>68.67692441176472</v>
      </c>
      <c r="F36" s="172" t="s">
        <v>361</v>
      </c>
      <c r="G36" s="411"/>
      <c r="H36" s="411"/>
      <c r="I36" s="413"/>
    </row>
    <row r="37" spans="1:9" ht="12.75" outlineLevel="1">
      <c r="A37" s="167">
        <v>8</v>
      </c>
      <c r="B37" s="176" t="s">
        <v>33</v>
      </c>
      <c r="C37" s="174" t="s">
        <v>2</v>
      </c>
      <c r="D37" s="179">
        <f>'[1]Свод'!I107</f>
        <v>8494</v>
      </c>
      <c r="E37" s="171">
        <f>'[1]Свод'!AH107+(('[1]Свод'!AH203+'[1]Свод'!AH204)/14946)*'[1]Свод'!I107</f>
        <v>1611.525767872287</v>
      </c>
      <c r="F37" s="172" t="s">
        <v>361</v>
      </c>
      <c r="G37" s="411"/>
      <c r="H37" s="411"/>
      <c r="I37" s="413"/>
    </row>
    <row r="38" spans="1:9" ht="10.5" customHeight="1">
      <c r="A38" s="166" t="s">
        <v>255</v>
      </c>
      <c r="B38" s="183" t="s">
        <v>112</v>
      </c>
      <c r="C38" s="180" t="s">
        <v>25</v>
      </c>
      <c r="D38" s="184">
        <f>D39</f>
        <v>206</v>
      </c>
      <c r="E38" s="165">
        <f>SUM(E39:E44)</f>
        <v>63.24581518753416</v>
      </c>
      <c r="F38" s="166" t="s">
        <v>298</v>
      </c>
      <c r="G38" s="411"/>
      <c r="H38" s="411"/>
      <c r="I38" s="413"/>
    </row>
    <row r="39" spans="1:9" ht="12.75" customHeight="1" outlineLevel="1">
      <c r="A39" s="167">
        <v>1</v>
      </c>
      <c r="B39" s="168" t="s">
        <v>34</v>
      </c>
      <c r="C39" s="174" t="s">
        <v>25</v>
      </c>
      <c r="D39" s="179">
        <f>'[1]Свод'!I109+'[1]Свод'!I110</f>
        <v>206</v>
      </c>
      <c r="E39" s="171">
        <f>'[1]Свод'!AH109+'[1]Свод'!AH110+'[1]Свод'!AH111</f>
        <v>37.3925404</v>
      </c>
      <c r="F39" s="172" t="s">
        <v>299</v>
      </c>
      <c r="G39" s="411"/>
      <c r="H39" s="411"/>
      <c r="I39" s="413"/>
    </row>
    <row r="40" spans="1:9" ht="12.75" outlineLevel="1">
      <c r="A40" s="167">
        <v>2</v>
      </c>
      <c r="B40" s="173" t="s">
        <v>29</v>
      </c>
      <c r="C40" s="174" t="s">
        <v>2</v>
      </c>
      <c r="D40" s="178">
        <f>'[1]Свод'!C112</f>
        <v>432.6</v>
      </c>
      <c r="E40" s="171">
        <f>'[1]Свод'!AH112</f>
        <v>8.951030747568002</v>
      </c>
      <c r="F40" s="172" t="s">
        <v>299</v>
      </c>
      <c r="G40" s="411"/>
      <c r="H40" s="411"/>
      <c r="I40" s="413"/>
    </row>
    <row r="41" spans="1:9" ht="12.75" outlineLevel="1">
      <c r="A41" s="167">
        <v>3</v>
      </c>
      <c r="B41" s="185" t="s">
        <v>30</v>
      </c>
      <c r="C41" s="174" t="s">
        <v>2</v>
      </c>
      <c r="D41" s="178">
        <f>'[1]Свод'!I113</f>
        <v>432.6</v>
      </c>
      <c r="E41" s="171">
        <f>'[1]Свод'!AH113</f>
        <v>3.9663596538461534</v>
      </c>
      <c r="F41" s="172" t="s">
        <v>299</v>
      </c>
      <c r="G41" s="411"/>
      <c r="H41" s="411"/>
      <c r="I41" s="413"/>
    </row>
    <row r="42" spans="1:9" ht="25.5" outlineLevel="1">
      <c r="A42" s="167">
        <v>4</v>
      </c>
      <c r="B42" s="176" t="s">
        <v>294</v>
      </c>
      <c r="C42" s="174" t="s">
        <v>2</v>
      </c>
      <c r="D42" s="178">
        <f>'[1]Свод'!I114</f>
        <v>34</v>
      </c>
      <c r="E42" s="171">
        <f>'[1]Свод'!AH114</f>
        <v>0.512414</v>
      </c>
      <c r="F42" s="172" t="s">
        <v>299</v>
      </c>
      <c r="G42" s="411"/>
      <c r="H42" s="411"/>
      <c r="I42" s="413"/>
    </row>
    <row r="43" spans="1:9" ht="12.75" outlineLevel="1">
      <c r="A43" s="167">
        <v>5</v>
      </c>
      <c r="B43" s="185" t="s">
        <v>35</v>
      </c>
      <c r="C43" s="174" t="s">
        <v>2</v>
      </c>
      <c r="D43" s="178">
        <f>'[1]Свод'!I115</f>
        <v>127.83330000000001</v>
      </c>
      <c r="E43" s="171">
        <f>'[1]Свод'!AH115</f>
        <v>11.400155086120007</v>
      </c>
      <c r="F43" s="172" t="s">
        <v>299</v>
      </c>
      <c r="G43" s="411"/>
      <c r="H43" s="411"/>
      <c r="I43" s="413"/>
    </row>
    <row r="44" spans="1:9" ht="12.75" outlineLevel="1">
      <c r="A44" s="167">
        <v>6</v>
      </c>
      <c r="B44" s="177" t="s">
        <v>31</v>
      </c>
      <c r="C44" s="174" t="s">
        <v>2</v>
      </c>
      <c r="D44" s="178">
        <f>'[1]Свод'!I116</f>
        <v>64.89</v>
      </c>
      <c r="E44" s="171">
        <f>'[1]Свод'!AH116</f>
        <v>1.0233153</v>
      </c>
      <c r="F44" s="172" t="s">
        <v>299</v>
      </c>
      <c r="G44" s="411"/>
      <c r="H44" s="411"/>
      <c r="I44" s="413"/>
    </row>
    <row r="45" spans="1:9" ht="11.25" customHeight="1">
      <c r="A45" s="166" t="s">
        <v>260</v>
      </c>
      <c r="B45" s="183" t="s">
        <v>114</v>
      </c>
      <c r="C45" s="180" t="s">
        <v>25</v>
      </c>
      <c r="D45" s="184">
        <f>D46</f>
        <v>190</v>
      </c>
      <c r="E45" s="165">
        <f>SUM(E46:E52)</f>
        <v>61.45183881812715</v>
      </c>
      <c r="F45" s="166" t="s">
        <v>302</v>
      </c>
      <c r="G45" s="411"/>
      <c r="H45" s="411"/>
      <c r="I45" s="413"/>
    </row>
    <row r="46" spans="1:9" ht="12.75" outlineLevel="1">
      <c r="A46" s="186">
        <v>1</v>
      </c>
      <c r="B46" s="185" t="s">
        <v>115</v>
      </c>
      <c r="C46" s="174" t="s">
        <v>25</v>
      </c>
      <c r="D46" s="179">
        <f>'[1]Свод'!I118</f>
        <v>190</v>
      </c>
      <c r="E46" s="171">
        <f>'[1]Свод'!AH118</f>
        <v>11.00537</v>
      </c>
      <c r="F46" s="172" t="s">
        <v>300</v>
      </c>
      <c r="G46" s="411"/>
      <c r="H46" s="411"/>
      <c r="I46" s="413"/>
    </row>
    <row r="47" spans="1:9" ht="12.75" outlineLevel="1">
      <c r="A47" s="186">
        <v>2</v>
      </c>
      <c r="B47" s="185" t="s">
        <v>116</v>
      </c>
      <c r="C47" s="174" t="s">
        <v>25</v>
      </c>
      <c r="D47" s="179">
        <f>'[1]Свод'!I119+'[1]Свод'!I120</f>
        <v>190</v>
      </c>
      <c r="E47" s="171">
        <f>'[1]Свод'!AH119+'[1]Свод'!AH120+'[1]Свод'!AH121</f>
        <v>26.726889999999997</v>
      </c>
      <c r="F47" s="172" t="s">
        <v>301</v>
      </c>
      <c r="G47" s="411"/>
      <c r="H47" s="411"/>
      <c r="I47" s="413"/>
    </row>
    <row r="48" spans="1:9" ht="12.75" outlineLevel="1">
      <c r="A48" s="186">
        <v>3</v>
      </c>
      <c r="B48" s="185" t="s">
        <v>113</v>
      </c>
      <c r="C48" s="174" t="s">
        <v>2</v>
      </c>
      <c r="D48" s="179">
        <f>'[1]Свод'!C122</f>
        <v>380</v>
      </c>
      <c r="E48" s="171">
        <f>'[1]Свод'!AH122</f>
        <v>9.0413476784</v>
      </c>
      <c r="F48" s="172" t="s">
        <v>301</v>
      </c>
      <c r="G48" s="411"/>
      <c r="H48" s="411"/>
      <c r="I48" s="413"/>
    </row>
    <row r="49" spans="1:9" ht="12.75" outlineLevel="1">
      <c r="A49" s="186">
        <v>4</v>
      </c>
      <c r="B49" s="185" t="s">
        <v>30</v>
      </c>
      <c r="C49" s="174" t="s">
        <v>2</v>
      </c>
      <c r="D49" s="179">
        <f>'[1]Свод'!I123</f>
        <v>380</v>
      </c>
      <c r="E49" s="171">
        <f>'[1]Свод'!AH123</f>
        <v>3.484088461538461</v>
      </c>
      <c r="F49" s="172" t="s">
        <v>301</v>
      </c>
      <c r="G49" s="411"/>
      <c r="H49" s="411"/>
      <c r="I49" s="413"/>
    </row>
    <row r="50" spans="1:9" ht="25.5" outlineLevel="1">
      <c r="A50" s="186">
        <v>5</v>
      </c>
      <c r="B50" s="176" t="s">
        <v>293</v>
      </c>
      <c r="C50" s="174" t="s">
        <v>2</v>
      </c>
      <c r="D50" s="179">
        <f>'[1]Свод'!I124</f>
        <v>28</v>
      </c>
      <c r="E50" s="171">
        <f>'[1]Свод'!AH124</f>
        <v>0.28124682352941177</v>
      </c>
      <c r="F50" s="172" t="s">
        <v>301</v>
      </c>
      <c r="G50" s="411"/>
      <c r="H50" s="411"/>
      <c r="I50" s="413"/>
    </row>
    <row r="51" spans="1:9" ht="12.75" outlineLevel="1">
      <c r="A51" s="186">
        <v>6</v>
      </c>
      <c r="B51" s="185" t="s">
        <v>35</v>
      </c>
      <c r="C51" s="174" t="s">
        <v>2</v>
      </c>
      <c r="D51" s="178">
        <f>'[1]Свод'!I125</f>
        <v>112.28999999999999</v>
      </c>
      <c r="E51" s="171">
        <f>'[1]Свод'!AH125</f>
        <v>10.014005854659272</v>
      </c>
      <c r="F51" s="172" t="s">
        <v>301</v>
      </c>
      <c r="G51" s="411"/>
      <c r="H51" s="411"/>
      <c r="I51" s="413"/>
    </row>
    <row r="52" spans="1:9" ht="12.75" outlineLevel="1">
      <c r="A52" s="186">
        <v>7</v>
      </c>
      <c r="B52" s="177" t="s">
        <v>31</v>
      </c>
      <c r="C52" s="174" t="s">
        <v>2</v>
      </c>
      <c r="D52" s="179">
        <f>'[1]Свод'!I126</f>
        <v>57</v>
      </c>
      <c r="E52" s="171">
        <f>'[1]Свод'!AH126</f>
        <v>0.89889</v>
      </c>
      <c r="F52" s="172" t="s">
        <v>301</v>
      </c>
      <c r="G52" s="411"/>
      <c r="H52" s="411"/>
      <c r="I52" s="413"/>
    </row>
    <row r="53" spans="1:9" ht="11.25" customHeight="1">
      <c r="A53" s="166" t="s">
        <v>266</v>
      </c>
      <c r="B53" s="183" t="s">
        <v>120</v>
      </c>
      <c r="C53" s="180" t="s">
        <v>25</v>
      </c>
      <c r="D53" s="184">
        <f>D54</f>
        <v>770</v>
      </c>
      <c r="E53" s="165">
        <f>SUM(E54:E61)</f>
        <v>590.7224141214595</v>
      </c>
      <c r="F53" s="166" t="s">
        <v>362</v>
      </c>
      <c r="G53" s="411"/>
      <c r="H53" s="411"/>
      <c r="I53" s="413"/>
    </row>
    <row r="54" spans="1:9" ht="12.75" outlineLevel="1">
      <c r="A54" s="186">
        <v>1</v>
      </c>
      <c r="B54" s="176" t="s">
        <v>34</v>
      </c>
      <c r="C54" s="174" t="s">
        <v>25</v>
      </c>
      <c r="D54" s="179">
        <f>'[1]Свод'!I133</f>
        <v>770</v>
      </c>
      <c r="E54" s="171">
        <f>'[1]Свод'!AH133+'[1]Свод'!AH134</f>
        <v>134.230096</v>
      </c>
      <c r="F54" s="172" t="s">
        <v>303</v>
      </c>
      <c r="G54" s="411"/>
      <c r="H54" s="411"/>
      <c r="I54" s="413"/>
    </row>
    <row r="55" spans="1:9" ht="12.75" outlineLevel="1">
      <c r="A55" s="186">
        <v>2</v>
      </c>
      <c r="B55" s="185" t="s">
        <v>113</v>
      </c>
      <c r="C55" s="174" t="s">
        <v>2</v>
      </c>
      <c r="D55" s="179">
        <f>'[1]Свод'!C135</f>
        <v>1386</v>
      </c>
      <c r="E55" s="171">
        <f>'[1]Свод'!AH135</f>
        <v>37.51293501648001</v>
      </c>
      <c r="F55" s="172" t="s">
        <v>303</v>
      </c>
      <c r="G55" s="411"/>
      <c r="H55" s="411"/>
      <c r="I55" s="413"/>
    </row>
    <row r="56" spans="1:9" ht="12.75" outlineLevel="1">
      <c r="A56" s="186">
        <v>3</v>
      </c>
      <c r="B56" s="185" t="s">
        <v>30</v>
      </c>
      <c r="C56" s="174" t="s">
        <v>2</v>
      </c>
      <c r="D56" s="179">
        <f>'[1]Свод'!I136</f>
        <v>1386</v>
      </c>
      <c r="E56" s="171">
        <f>'[1]Свод'!AH136</f>
        <v>12.707754230769229</v>
      </c>
      <c r="F56" s="172" t="s">
        <v>362</v>
      </c>
      <c r="G56" s="411"/>
      <c r="H56" s="411"/>
      <c r="I56" s="413"/>
    </row>
    <row r="57" spans="1:9" ht="25.5" outlineLevel="1">
      <c r="A57" s="186">
        <v>4</v>
      </c>
      <c r="B57" s="176" t="s">
        <v>293</v>
      </c>
      <c r="C57" s="174" t="s">
        <v>2</v>
      </c>
      <c r="D57" s="178">
        <f>'[1]Свод'!I137+'[1]Свод'!I138</f>
        <v>658</v>
      </c>
      <c r="E57" s="171">
        <f>'[1]Свод'!AH137+'[1]Свод'!AH138</f>
        <v>7.556321788235294</v>
      </c>
      <c r="F57" s="172" t="s">
        <v>177</v>
      </c>
      <c r="G57" s="411"/>
      <c r="H57" s="411"/>
      <c r="I57" s="413"/>
    </row>
    <row r="58" spans="1:9" ht="12.75" outlineLevel="1">
      <c r="A58" s="186">
        <v>5</v>
      </c>
      <c r="B58" s="185" t="s">
        <v>35</v>
      </c>
      <c r="C58" s="174" t="s">
        <v>2</v>
      </c>
      <c r="D58" s="178">
        <f>'[1]Свод'!I139</f>
        <v>1317</v>
      </c>
      <c r="E58" s="171">
        <f>'[1]Свод'!AH139</f>
        <v>117.44986829269088</v>
      </c>
      <c r="F58" s="172" t="s">
        <v>177</v>
      </c>
      <c r="G58" s="411"/>
      <c r="H58" s="411"/>
      <c r="I58" s="413"/>
    </row>
    <row r="59" spans="1:9" ht="12.75" outlineLevel="1">
      <c r="A59" s="186">
        <v>6</v>
      </c>
      <c r="B59" s="177" t="s">
        <v>31</v>
      </c>
      <c r="C59" s="174" t="s">
        <v>2</v>
      </c>
      <c r="D59" s="178">
        <f>'[1]Свод'!I140</f>
        <v>1317</v>
      </c>
      <c r="E59" s="171">
        <f>'[1]Свод'!AH140</f>
        <v>20.76909</v>
      </c>
      <c r="F59" s="172" t="s">
        <v>177</v>
      </c>
      <c r="G59" s="411"/>
      <c r="H59" s="411"/>
      <c r="I59" s="413"/>
    </row>
    <row r="60" spans="1:9" ht="25.5" outlineLevel="1">
      <c r="A60" s="186">
        <v>7</v>
      </c>
      <c r="B60" s="176" t="s">
        <v>295</v>
      </c>
      <c r="C60" s="174" t="s">
        <v>2</v>
      </c>
      <c r="D60" s="178">
        <f>'[1]Свод'!I141+'[1]Свод'!I142</f>
        <v>920</v>
      </c>
      <c r="E60" s="171">
        <f>'[1]Свод'!AH141+'[1]Свод'!AH142</f>
        <v>10.628272941176471</v>
      </c>
      <c r="F60" s="172" t="s">
        <v>363</v>
      </c>
      <c r="G60" s="411"/>
      <c r="H60" s="411"/>
      <c r="I60" s="413"/>
    </row>
    <row r="61" spans="1:9" ht="12.75" outlineLevel="1">
      <c r="A61" s="186">
        <v>8</v>
      </c>
      <c r="B61" s="185" t="s">
        <v>33</v>
      </c>
      <c r="C61" s="174" t="s">
        <v>2</v>
      </c>
      <c r="D61" s="178">
        <f>'[1]Свод'!I143</f>
        <v>1317</v>
      </c>
      <c r="E61" s="171">
        <f>'[1]Свод'!AH143+(('[1]Свод'!AH203+'[1]Свод'!AH204)/14946)*'[1]Свод'!I143</f>
        <v>249.8680758521076</v>
      </c>
      <c r="F61" s="172" t="s">
        <v>363</v>
      </c>
      <c r="G61" s="411"/>
      <c r="H61" s="411"/>
      <c r="I61" s="413"/>
    </row>
    <row r="62" spans="1:9" ht="12" customHeight="1">
      <c r="A62" s="187" t="s">
        <v>364</v>
      </c>
      <c r="B62" s="183" t="s">
        <v>122</v>
      </c>
      <c r="C62" s="180" t="s">
        <v>25</v>
      </c>
      <c r="D62" s="184">
        <f>D63</f>
        <v>486</v>
      </c>
      <c r="E62" s="165">
        <f>SUM(E63:E71)</f>
        <v>219.87403268814543</v>
      </c>
      <c r="F62" s="166" t="s">
        <v>365</v>
      </c>
      <c r="G62" s="411"/>
      <c r="H62" s="411"/>
      <c r="I62" s="413"/>
    </row>
    <row r="63" spans="1:9" ht="12.75" outlineLevel="1">
      <c r="A63" s="186">
        <v>1</v>
      </c>
      <c r="B63" s="185" t="s">
        <v>115</v>
      </c>
      <c r="C63" s="174" t="s">
        <v>25</v>
      </c>
      <c r="D63" s="179">
        <f>'[1]Свод'!I145</f>
        <v>486</v>
      </c>
      <c r="E63" s="171">
        <f>'[1]Свод'!AH145</f>
        <v>28.150578</v>
      </c>
      <c r="F63" s="172" t="s">
        <v>178</v>
      </c>
      <c r="G63" s="411"/>
      <c r="H63" s="411"/>
      <c r="I63" s="413"/>
    </row>
    <row r="64" spans="1:9" ht="12.75" outlineLevel="1">
      <c r="A64" s="186">
        <v>2</v>
      </c>
      <c r="B64" s="185" t="s">
        <v>121</v>
      </c>
      <c r="C64" s="174" t="s">
        <v>25</v>
      </c>
      <c r="D64" s="179">
        <f>'[1]Свод'!I146</f>
        <v>486</v>
      </c>
      <c r="E64" s="171">
        <f>'[1]Свод'!AH146+'[1]Свод'!AH147</f>
        <v>87.64527888</v>
      </c>
      <c r="F64" s="172" t="s">
        <v>179</v>
      </c>
      <c r="G64" s="411"/>
      <c r="H64" s="411"/>
      <c r="I64" s="413"/>
    </row>
    <row r="65" spans="1:9" ht="12.75" outlineLevel="1">
      <c r="A65" s="186">
        <v>3</v>
      </c>
      <c r="B65" s="185" t="s">
        <v>113</v>
      </c>
      <c r="C65" s="174" t="s">
        <v>2</v>
      </c>
      <c r="D65" s="179">
        <f>'[1]Свод'!C148</f>
        <v>515.1600000000001</v>
      </c>
      <c r="E65" s="171">
        <f>'[1]Свод'!AH148</f>
        <v>21.0503080555488</v>
      </c>
      <c r="F65" s="172" t="s">
        <v>179</v>
      </c>
      <c r="G65" s="411"/>
      <c r="H65" s="411"/>
      <c r="I65" s="413"/>
    </row>
    <row r="66" spans="1:9" ht="12.75" outlineLevel="1">
      <c r="A66" s="186">
        <v>4</v>
      </c>
      <c r="B66" s="185" t="s">
        <v>30</v>
      </c>
      <c r="C66" s="174" t="s">
        <v>2</v>
      </c>
      <c r="D66" s="179">
        <f>'[1]Свод'!I149</f>
        <v>515.1600000000001</v>
      </c>
      <c r="E66" s="171">
        <f>'[1]Свод'!AH149</f>
        <v>4.723323715384617</v>
      </c>
      <c r="F66" s="172" t="s">
        <v>179</v>
      </c>
      <c r="G66" s="411"/>
      <c r="H66" s="411"/>
      <c r="I66" s="413"/>
    </row>
    <row r="67" spans="1:9" ht="25.5" outlineLevel="1">
      <c r="A67" s="186">
        <v>5</v>
      </c>
      <c r="B67" s="176" t="s">
        <v>293</v>
      </c>
      <c r="C67" s="174" t="s">
        <v>2</v>
      </c>
      <c r="D67" s="178">
        <f>'[1]Свод'!I150</f>
        <v>38</v>
      </c>
      <c r="E67" s="171">
        <f>'[1]Свод'!AH150</f>
        <v>0.5726979999999998</v>
      </c>
      <c r="F67" s="172" t="s">
        <v>179</v>
      </c>
      <c r="G67" s="411"/>
      <c r="H67" s="411"/>
      <c r="I67" s="413"/>
    </row>
    <row r="68" spans="1:9" ht="12.75" outlineLevel="1">
      <c r="A68" s="186">
        <v>6</v>
      </c>
      <c r="B68" s="185" t="s">
        <v>35</v>
      </c>
      <c r="C68" s="174" t="s">
        <v>2</v>
      </c>
      <c r="D68" s="178">
        <f>'[1]Свод'!I151</f>
        <v>152.22978000000003</v>
      </c>
      <c r="E68" s="171">
        <f>'[1]Свод'!AH151</f>
        <v>0.8029594844236605</v>
      </c>
      <c r="F68" s="172" t="s">
        <v>179</v>
      </c>
      <c r="G68" s="411"/>
      <c r="H68" s="411"/>
      <c r="I68" s="413"/>
    </row>
    <row r="69" spans="1:9" ht="12.75" outlineLevel="1">
      <c r="A69" s="186">
        <v>7</v>
      </c>
      <c r="B69" s="177" t="s">
        <v>31</v>
      </c>
      <c r="C69" s="174" t="s">
        <v>2</v>
      </c>
      <c r="D69" s="178">
        <f>'[1]Свод'!I152</f>
        <v>77.27400000000002</v>
      </c>
      <c r="E69" s="171">
        <f>'[1]Свод'!AH152</f>
        <v>1.2186109800000002</v>
      </c>
      <c r="F69" s="172" t="s">
        <v>179</v>
      </c>
      <c r="G69" s="411"/>
      <c r="H69" s="411"/>
      <c r="I69" s="413"/>
    </row>
    <row r="70" spans="1:9" ht="25.5" outlineLevel="1">
      <c r="A70" s="186">
        <v>8</v>
      </c>
      <c r="B70" s="176" t="s">
        <v>295</v>
      </c>
      <c r="C70" s="174" t="s">
        <v>2</v>
      </c>
      <c r="D70" s="178">
        <v>264</v>
      </c>
      <c r="E70" s="171">
        <f>'[1]Свод'!AH153+'[1]Свод'!AH154</f>
        <v>4.183878764705883</v>
      </c>
      <c r="F70" s="172" t="s">
        <v>366</v>
      </c>
      <c r="G70" s="411"/>
      <c r="H70" s="411"/>
      <c r="I70" s="413"/>
    </row>
    <row r="71" spans="1:9" ht="12.75" outlineLevel="1">
      <c r="A71" s="186">
        <v>9</v>
      </c>
      <c r="B71" s="185" t="s">
        <v>33</v>
      </c>
      <c r="C71" s="174" t="s">
        <v>2</v>
      </c>
      <c r="D71" s="179">
        <f>'[1]Свод'!I155</f>
        <v>377</v>
      </c>
      <c r="E71" s="171">
        <f>'[1]Свод'!AH155+(('[1]Свод'!AH203+'[1]Свод'!AH204))/14946*'[1]Свод'!I155</f>
        <v>71.52639680808244</v>
      </c>
      <c r="F71" s="172" t="s">
        <v>366</v>
      </c>
      <c r="G71" s="411"/>
      <c r="H71" s="411"/>
      <c r="I71" s="413"/>
    </row>
    <row r="72" spans="1:9" ht="13.5">
      <c r="A72" s="188" t="s">
        <v>5</v>
      </c>
      <c r="B72" s="189" t="s">
        <v>117</v>
      </c>
      <c r="C72" s="180" t="s">
        <v>2</v>
      </c>
      <c r="D72" s="184">
        <v>840</v>
      </c>
      <c r="E72" s="165">
        <f>SUM(E73:E76)</f>
        <v>130.91187128444443</v>
      </c>
      <c r="F72" s="166" t="s">
        <v>57</v>
      </c>
      <c r="G72" s="411"/>
      <c r="H72" s="411"/>
      <c r="I72" s="413"/>
    </row>
    <row r="73" spans="1:9" ht="12.75" outlineLevel="1">
      <c r="A73" s="226">
        <v>1</v>
      </c>
      <c r="B73" s="185" t="s">
        <v>117</v>
      </c>
      <c r="C73" s="174" t="s">
        <v>25</v>
      </c>
      <c r="D73" s="179">
        <f>'[1]Свод'!I128</f>
        <v>420</v>
      </c>
      <c r="E73" s="171">
        <f>'[1]Свод'!AH128</f>
        <v>38.567206999999996</v>
      </c>
      <c r="F73" s="172" t="s">
        <v>57</v>
      </c>
      <c r="G73" s="411"/>
      <c r="H73" s="411"/>
      <c r="I73" s="413"/>
    </row>
    <row r="74" spans="1:9" ht="12.75" outlineLevel="1">
      <c r="A74" s="226" t="s">
        <v>383</v>
      </c>
      <c r="B74" s="185" t="s">
        <v>118</v>
      </c>
      <c r="C74" s="174" t="s">
        <v>2</v>
      </c>
      <c r="D74" s="179">
        <v>840</v>
      </c>
      <c r="E74" s="171">
        <f>'[1]Свод'!AH129</f>
        <v>18.020407999999996</v>
      </c>
      <c r="F74" s="172" t="s">
        <v>57</v>
      </c>
      <c r="G74" s="411"/>
      <c r="H74" s="411"/>
      <c r="I74" s="413"/>
    </row>
    <row r="75" spans="1:9" ht="12.75" outlineLevel="1">
      <c r="A75" s="226" t="s">
        <v>384</v>
      </c>
      <c r="B75" s="185" t="s">
        <v>163</v>
      </c>
      <c r="C75" s="174" t="s">
        <v>2</v>
      </c>
      <c r="D75" s="179">
        <v>840</v>
      </c>
      <c r="E75" s="171">
        <f>'[1]Свод'!AH130</f>
        <v>55.97497036444444</v>
      </c>
      <c r="F75" s="172" t="s">
        <v>57</v>
      </c>
      <c r="G75" s="411"/>
      <c r="H75" s="411"/>
      <c r="I75" s="413"/>
    </row>
    <row r="76" spans="1:9" ht="12.75" outlineLevel="1">
      <c r="A76" s="226" t="s">
        <v>385</v>
      </c>
      <c r="B76" s="185" t="s">
        <v>119</v>
      </c>
      <c r="C76" s="174" t="s">
        <v>2</v>
      </c>
      <c r="D76" s="179">
        <v>840</v>
      </c>
      <c r="E76" s="171">
        <f>'[1]Свод'!AH131</f>
        <v>18.349285920000003</v>
      </c>
      <c r="F76" s="172" t="s">
        <v>57</v>
      </c>
      <c r="G76" s="411"/>
      <c r="H76" s="411"/>
      <c r="I76" s="413"/>
    </row>
    <row r="77" spans="1:9" ht="10.5" customHeight="1">
      <c r="A77" s="227" t="s">
        <v>7</v>
      </c>
      <c r="B77" s="149" t="s">
        <v>123</v>
      </c>
      <c r="C77" s="228" t="s">
        <v>2</v>
      </c>
      <c r="D77" s="229">
        <v>1523</v>
      </c>
      <c r="E77" s="230">
        <f>SUM(E78:E80)</f>
        <v>129.4966973099227</v>
      </c>
      <c r="F77" s="231" t="s">
        <v>181</v>
      </c>
      <c r="G77" s="411"/>
      <c r="H77" s="411"/>
      <c r="I77" s="413"/>
    </row>
    <row r="78" spans="1:9" ht="12.75" outlineLevel="1">
      <c r="A78" s="186">
        <v>1</v>
      </c>
      <c r="B78" s="185" t="s">
        <v>124</v>
      </c>
      <c r="C78" s="174" t="s">
        <v>2</v>
      </c>
      <c r="D78" s="179">
        <f>'[1]Свод'!I157</f>
        <v>10</v>
      </c>
      <c r="E78" s="171">
        <f>'[1]Свод'!AH157</f>
        <v>65.8834328125</v>
      </c>
      <c r="F78" s="172" t="s">
        <v>180</v>
      </c>
      <c r="G78" s="411"/>
      <c r="H78" s="411"/>
      <c r="I78" s="413"/>
    </row>
    <row r="79" spans="1:9" ht="12.75" customHeight="1" outlineLevel="1">
      <c r="A79" s="186">
        <v>2</v>
      </c>
      <c r="B79" s="185" t="s">
        <v>232</v>
      </c>
      <c r="C79" s="174" t="s">
        <v>2</v>
      </c>
      <c r="D79" s="179">
        <f>'[1]Свод'!I158</f>
        <v>1523</v>
      </c>
      <c r="E79" s="171">
        <f>'[1]Свод'!AH158</f>
        <v>49.623108247422685</v>
      </c>
      <c r="F79" s="172" t="s">
        <v>181</v>
      </c>
      <c r="G79" s="411"/>
      <c r="H79" s="411"/>
      <c r="I79" s="413"/>
    </row>
    <row r="80" spans="1:9" ht="12.75" outlineLevel="1">
      <c r="A80" s="186">
        <v>3</v>
      </c>
      <c r="B80" s="185" t="s">
        <v>125</v>
      </c>
      <c r="C80" s="174" t="s">
        <v>2</v>
      </c>
      <c r="D80" s="179">
        <f>'[1]Свод'!I159</f>
        <v>1000</v>
      </c>
      <c r="E80" s="171">
        <f>'[1]Свод'!AH159</f>
        <v>13.99015625</v>
      </c>
      <c r="F80" s="172" t="s">
        <v>180</v>
      </c>
      <c r="G80" s="411"/>
      <c r="H80" s="411"/>
      <c r="I80" s="413"/>
    </row>
    <row r="81" spans="1:9" ht="11.25" customHeight="1">
      <c r="A81" s="227" t="s">
        <v>9</v>
      </c>
      <c r="B81" s="149" t="s">
        <v>126</v>
      </c>
      <c r="C81" s="228" t="s">
        <v>25</v>
      </c>
      <c r="D81" s="229">
        <f>D84</f>
        <v>2150</v>
      </c>
      <c r="E81" s="230">
        <f>SUM(E82:E86)</f>
        <v>370.8325327985732</v>
      </c>
      <c r="F81" s="232" t="s">
        <v>177</v>
      </c>
      <c r="G81" s="411"/>
      <c r="H81" s="411"/>
      <c r="I81" s="413"/>
    </row>
    <row r="82" spans="1:9" ht="12.75" outlineLevel="1">
      <c r="A82" s="186">
        <v>1</v>
      </c>
      <c r="B82" s="185" t="s">
        <v>26</v>
      </c>
      <c r="C82" s="174" t="s">
        <v>2</v>
      </c>
      <c r="D82" s="179">
        <f>'[1]Свод'!I161</f>
        <v>645</v>
      </c>
      <c r="E82" s="171">
        <f>'[1]Свод'!AH161</f>
        <v>6.478288941176471</v>
      </c>
      <c r="F82" s="172" t="s">
        <v>177</v>
      </c>
      <c r="G82" s="411"/>
      <c r="H82" s="411"/>
      <c r="I82" s="413"/>
    </row>
    <row r="83" spans="1:9" ht="12.75" outlineLevel="1">
      <c r="A83" s="186">
        <v>2</v>
      </c>
      <c r="B83" s="185" t="s">
        <v>127</v>
      </c>
      <c r="C83" s="174" t="s">
        <v>2</v>
      </c>
      <c r="D83" s="179">
        <f>'[1]Свод'!C162</f>
        <v>645</v>
      </c>
      <c r="E83" s="171">
        <f>'[1]Свод'!AH162</f>
        <v>7.084923069947369</v>
      </c>
      <c r="F83" s="172" t="s">
        <v>177</v>
      </c>
      <c r="G83" s="411"/>
      <c r="H83" s="411"/>
      <c r="I83" s="413"/>
    </row>
    <row r="84" spans="1:9" ht="12.75" outlineLevel="1">
      <c r="A84" s="186">
        <v>3</v>
      </c>
      <c r="B84" s="185" t="s">
        <v>128</v>
      </c>
      <c r="C84" s="174" t="s">
        <v>25</v>
      </c>
      <c r="D84" s="179">
        <f>'[1]Свод'!I163</f>
        <v>2150</v>
      </c>
      <c r="E84" s="171">
        <f>'[1]Свод'!AH163</f>
        <v>43.56403956766918</v>
      </c>
      <c r="F84" s="172" t="s">
        <v>177</v>
      </c>
      <c r="G84" s="411"/>
      <c r="H84" s="411"/>
      <c r="I84" s="413"/>
    </row>
    <row r="85" spans="1:9" ht="25.5" outlineLevel="1">
      <c r="A85" s="186">
        <v>4</v>
      </c>
      <c r="B85" s="185" t="s">
        <v>129</v>
      </c>
      <c r="C85" s="174" t="s">
        <v>25</v>
      </c>
      <c r="D85" s="179">
        <f>'[1]Свод'!I164</f>
        <v>2150</v>
      </c>
      <c r="E85" s="171">
        <f>'[1]Свод'!AH164</f>
        <v>235.01198121978024</v>
      </c>
      <c r="F85" s="172" t="s">
        <v>177</v>
      </c>
      <c r="G85" s="411"/>
      <c r="H85" s="411"/>
      <c r="I85" s="413"/>
    </row>
    <row r="86" spans="1:9" ht="12.75" outlineLevel="1">
      <c r="A86" s="186">
        <v>5</v>
      </c>
      <c r="B86" s="185" t="s">
        <v>130</v>
      </c>
      <c r="C86" s="174" t="s">
        <v>25</v>
      </c>
      <c r="D86" s="179">
        <f>'[1]Свод'!I165</f>
        <v>1500</v>
      </c>
      <c r="E86" s="171">
        <f>'[1]Свод'!AH165</f>
        <v>78.69329999999998</v>
      </c>
      <c r="F86" s="172" t="s">
        <v>367</v>
      </c>
      <c r="G86" s="411"/>
      <c r="H86" s="411"/>
      <c r="I86" s="413"/>
    </row>
    <row r="87" spans="1:9" ht="10.5" customHeight="1">
      <c r="A87" s="227" t="s">
        <v>315</v>
      </c>
      <c r="B87" s="149" t="s">
        <v>131</v>
      </c>
      <c r="C87" s="228" t="s">
        <v>25</v>
      </c>
      <c r="D87" s="229">
        <f>D90+D93</f>
        <v>1500</v>
      </c>
      <c r="E87" s="230">
        <f>SUM(E88:E93)</f>
        <v>78.44474147238921</v>
      </c>
      <c r="F87" s="232" t="s">
        <v>368</v>
      </c>
      <c r="G87" s="411"/>
      <c r="H87" s="411"/>
      <c r="I87" s="413"/>
    </row>
    <row r="88" spans="1:9" ht="12.75" outlineLevel="1">
      <c r="A88" s="186">
        <v>1</v>
      </c>
      <c r="B88" s="185" t="s">
        <v>132</v>
      </c>
      <c r="C88" s="174" t="s">
        <v>2</v>
      </c>
      <c r="D88" s="179">
        <f>'[1]Свод'!I167</f>
        <v>88</v>
      </c>
      <c r="E88" s="171">
        <f>'[1]Свод'!AH167</f>
        <v>1.326248</v>
      </c>
      <c r="F88" s="172" t="s">
        <v>178</v>
      </c>
      <c r="G88" s="411"/>
      <c r="H88" s="411"/>
      <c r="I88" s="413"/>
    </row>
    <row r="89" spans="1:9" ht="12.75" outlineLevel="1">
      <c r="A89" s="186">
        <v>2</v>
      </c>
      <c r="B89" s="182" t="s">
        <v>164</v>
      </c>
      <c r="C89" s="174" t="s">
        <v>2</v>
      </c>
      <c r="D89" s="179">
        <f>'[1]Свод'!C168</f>
        <v>88</v>
      </c>
      <c r="E89" s="171">
        <f>'[1]Свод'!AH168</f>
        <v>4.161470570658947</v>
      </c>
      <c r="F89" s="172" t="s">
        <v>178</v>
      </c>
      <c r="G89" s="411"/>
      <c r="H89" s="411"/>
      <c r="I89" s="413"/>
    </row>
    <row r="90" spans="1:9" ht="12.75" outlineLevel="1">
      <c r="A90" s="186">
        <v>3</v>
      </c>
      <c r="B90" s="185" t="s">
        <v>133</v>
      </c>
      <c r="C90" s="174" t="s">
        <v>25</v>
      </c>
      <c r="D90" s="179">
        <f>'[1]Свод'!I169</f>
        <v>400</v>
      </c>
      <c r="E90" s="171">
        <f>'[1]Свод'!AH169</f>
        <v>14.62907452631579</v>
      </c>
      <c r="F90" s="172" t="s">
        <v>178</v>
      </c>
      <c r="G90" s="411"/>
      <c r="H90" s="411"/>
      <c r="I90" s="413"/>
    </row>
    <row r="91" spans="1:9" ht="12.75" outlineLevel="1">
      <c r="A91" s="186">
        <v>4</v>
      </c>
      <c r="B91" s="185" t="s">
        <v>134</v>
      </c>
      <c r="C91" s="174" t="s">
        <v>2</v>
      </c>
      <c r="D91" s="179">
        <f>'[1]Свод'!I170</f>
        <v>275</v>
      </c>
      <c r="E91" s="171">
        <f>'[1]Свод'!AH170</f>
        <v>4.7366</v>
      </c>
      <c r="F91" s="172" t="s">
        <v>369</v>
      </c>
      <c r="G91" s="411"/>
      <c r="H91" s="411"/>
      <c r="I91" s="413"/>
    </row>
    <row r="92" spans="1:9" ht="12.75" outlineLevel="1">
      <c r="A92" s="186">
        <v>5</v>
      </c>
      <c r="B92" s="182" t="s">
        <v>164</v>
      </c>
      <c r="C92" s="174" t="s">
        <v>2</v>
      </c>
      <c r="D92" s="179">
        <f>'[1]Свод'!C171</f>
        <v>275</v>
      </c>
      <c r="E92" s="171">
        <f>'[1]Свод'!AH171</f>
        <v>11.913700796467104</v>
      </c>
      <c r="F92" s="172" t="s">
        <v>369</v>
      </c>
      <c r="G92" s="411"/>
      <c r="H92" s="411"/>
      <c r="I92" s="413"/>
    </row>
    <row r="93" spans="1:9" ht="12.75" outlineLevel="1">
      <c r="A93" s="186">
        <v>6</v>
      </c>
      <c r="B93" s="185" t="s">
        <v>135</v>
      </c>
      <c r="C93" s="174" t="s">
        <v>25</v>
      </c>
      <c r="D93" s="179">
        <f>'[1]Свод'!I172</f>
        <v>1100</v>
      </c>
      <c r="E93" s="171">
        <f>'[1]Свод'!AH172</f>
        <v>41.677647578947365</v>
      </c>
      <c r="F93" s="172" t="s">
        <v>369</v>
      </c>
      <c r="G93" s="411"/>
      <c r="H93" s="411"/>
      <c r="I93" s="413"/>
    </row>
    <row r="94" spans="1:9" ht="12" customHeight="1">
      <c r="A94" s="227" t="s">
        <v>158</v>
      </c>
      <c r="B94" s="149" t="s">
        <v>136</v>
      </c>
      <c r="C94" s="228" t="s">
        <v>25</v>
      </c>
      <c r="D94" s="229">
        <f>D99</f>
        <v>900</v>
      </c>
      <c r="E94" s="230">
        <f>SUM(E95:E99)</f>
        <v>402.37688496474084</v>
      </c>
      <c r="F94" s="232" t="s">
        <v>182</v>
      </c>
      <c r="G94" s="411"/>
      <c r="H94" s="411"/>
      <c r="I94" s="413"/>
    </row>
    <row r="95" spans="1:9" ht="12.75" outlineLevel="1">
      <c r="A95" s="186">
        <v>1</v>
      </c>
      <c r="B95" s="185" t="s">
        <v>137</v>
      </c>
      <c r="C95" s="174" t="s">
        <v>2</v>
      </c>
      <c r="D95" s="179">
        <v>630</v>
      </c>
      <c r="E95" s="171">
        <f>'[1]Свод'!AH174</f>
        <v>9.03947294117647</v>
      </c>
      <c r="F95" s="172" t="s">
        <v>182</v>
      </c>
      <c r="G95" s="411"/>
      <c r="H95" s="411"/>
      <c r="I95" s="413"/>
    </row>
    <row r="96" spans="1:9" ht="12.75" outlineLevel="1">
      <c r="A96" s="186">
        <v>2</v>
      </c>
      <c r="B96" s="185" t="s">
        <v>127</v>
      </c>
      <c r="C96" s="174" t="s">
        <v>2</v>
      </c>
      <c r="D96" s="179">
        <v>630</v>
      </c>
      <c r="E96" s="171">
        <f>'[1]Свод'!AH175</f>
        <v>7.027894588070954</v>
      </c>
      <c r="F96" s="172" t="s">
        <v>182</v>
      </c>
      <c r="G96" s="411"/>
      <c r="H96" s="411"/>
      <c r="I96" s="413"/>
    </row>
    <row r="97" spans="1:9" ht="12.75" outlineLevel="1">
      <c r="A97" s="186">
        <v>3</v>
      </c>
      <c r="B97" s="185" t="s">
        <v>27</v>
      </c>
      <c r="C97" s="174" t="s">
        <v>25</v>
      </c>
      <c r="D97" s="179">
        <f>'[1]Свод'!I176</f>
        <v>900</v>
      </c>
      <c r="E97" s="171">
        <f>'[1]Свод'!AH176</f>
        <v>11.69194660842572</v>
      </c>
      <c r="F97" s="172" t="s">
        <v>182</v>
      </c>
      <c r="G97" s="411"/>
      <c r="H97" s="411"/>
      <c r="I97" s="413"/>
    </row>
    <row r="98" spans="1:9" ht="25.5" outlineLevel="1">
      <c r="A98" s="186">
        <v>4</v>
      </c>
      <c r="B98" s="185" t="s">
        <v>138</v>
      </c>
      <c r="C98" s="174" t="s">
        <v>25</v>
      </c>
      <c r="D98" s="179">
        <f>'[1]Свод'!I177</f>
        <v>1100</v>
      </c>
      <c r="E98" s="171">
        <f>'[1]Свод'!AH177</f>
        <v>270.44771368421056</v>
      </c>
      <c r="F98" s="172" t="s">
        <v>182</v>
      </c>
      <c r="G98" s="411"/>
      <c r="H98" s="411"/>
      <c r="I98" s="413"/>
    </row>
    <row r="99" spans="1:9" ht="12.75" outlineLevel="1">
      <c r="A99" s="186">
        <v>5</v>
      </c>
      <c r="B99" s="185" t="s">
        <v>139</v>
      </c>
      <c r="C99" s="174" t="s">
        <v>25</v>
      </c>
      <c r="D99" s="179">
        <f>'[1]Свод'!I178</f>
        <v>900</v>
      </c>
      <c r="E99" s="171">
        <f>'[1]Свод'!AH178</f>
        <v>104.16985714285714</v>
      </c>
      <c r="F99" s="172" t="s">
        <v>182</v>
      </c>
      <c r="G99" s="411"/>
      <c r="H99" s="411"/>
      <c r="I99" s="413"/>
    </row>
    <row r="100" spans="1:9" ht="11.25" customHeight="1">
      <c r="A100" s="227" t="s">
        <v>159</v>
      </c>
      <c r="B100" s="149" t="s">
        <v>140</v>
      </c>
      <c r="C100" s="228" t="s">
        <v>25</v>
      </c>
      <c r="D100" s="229">
        <f>D101+D104</f>
        <v>160</v>
      </c>
      <c r="E100" s="230">
        <f>E101+E104</f>
        <v>133.54311965290157</v>
      </c>
      <c r="F100" s="232" t="s">
        <v>180</v>
      </c>
      <c r="G100" s="411"/>
      <c r="H100" s="411"/>
      <c r="I100" s="413"/>
    </row>
    <row r="101" spans="1:9" ht="10.5" customHeight="1" outlineLevel="2">
      <c r="A101" s="190" t="s">
        <v>317</v>
      </c>
      <c r="B101" s="183" t="s">
        <v>141</v>
      </c>
      <c r="C101" s="180" t="s">
        <v>25</v>
      </c>
      <c r="D101" s="184">
        <f>D102</f>
        <v>24</v>
      </c>
      <c r="E101" s="165">
        <f>SUM(E102:E103)</f>
        <v>42.07569034285714</v>
      </c>
      <c r="F101" s="166" t="s">
        <v>180</v>
      </c>
      <c r="G101" s="411"/>
      <c r="H101" s="411"/>
      <c r="I101" s="413"/>
    </row>
    <row r="102" spans="1:9" ht="12.75" outlineLevel="2">
      <c r="A102" s="186">
        <v>1</v>
      </c>
      <c r="B102" s="185" t="s">
        <v>142</v>
      </c>
      <c r="C102" s="174" t="s">
        <v>25</v>
      </c>
      <c r="D102" s="179">
        <f>'[1]Свод'!I181</f>
        <v>24</v>
      </c>
      <c r="E102" s="171">
        <f>'[1]Свод'!AH181</f>
        <v>3.673272</v>
      </c>
      <c r="F102" s="172" t="s">
        <v>180</v>
      </c>
      <c r="G102" s="411"/>
      <c r="H102" s="411"/>
      <c r="I102" s="413"/>
    </row>
    <row r="103" spans="1:9" ht="12.75" outlineLevel="2">
      <c r="A103" s="186">
        <v>2</v>
      </c>
      <c r="B103" s="185" t="s">
        <v>143</v>
      </c>
      <c r="C103" s="174" t="s">
        <v>2</v>
      </c>
      <c r="D103" s="179">
        <f>'[1]Свод'!I182</f>
        <v>600</v>
      </c>
      <c r="E103" s="171">
        <f>'[1]Свод'!AH182</f>
        <v>38.402418342857146</v>
      </c>
      <c r="F103" s="172" t="s">
        <v>180</v>
      </c>
      <c r="G103" s="411"/>
      <c r="H103" s="411"/>
      <c r="I103" s="413"/>
    </row>
    <row r="104" spans="1:9" ht="11.25" customHeight="1" outlineLevel="2">
      <c r="A104" s="190" t="s">
        <v>160</v>
      </c>
      <c r="B104" s="183" t="s">
        <v>144</v>
      </c>
      <c r="C104" s="180" t="s">
        <v>25</v>
      </c>
      <c r="D104" s="184">
        <f>D105</f>
        <v>136</v>
      </c>
      <c r="E104" s="165">
        <f>SUM(E105:E111)</f>
        <v>91.46742931004444</v>
      </c>
      <c r="F104" s="166" t="s">
        <v>370</v>
      </c>
      <c r="G104" s="411"/>
      <c r="H104" s="411"/>
      <c r="I104" s="413"/>
    </row>
    <row r="105" spans="1:9" ht="12.75" outlineLevel="1">
      <c r="A105" s="186">
        <v>1</v>
      </c>
      <c r="B105" s="185" t="s">
        <v>142</v>
      </c>
      <c r="C105" s="174" t="s">
        <v>25</v>
      </c>
      <c r="D105" s="179">
        <f>'[1]Свод'!I184</f>
        <v>136</v>
      </c>
      <c r="E105" s="171">
        <f>'[1]Свод'!AH184</f>
        <v>20.815208</v>
      </c>
      <c r="F105" s="172" t="s">
        <v>370</v>
      </c>
      <c r="G105" s="411"/>
      <c r="H105" s="411"/>
      <c r="I105" s="413"/>
    </row>
    <row r="106" spans="1:9" ht="12.75" outlineLevel="1">
      <c r="A106" s="186">
        <v>2</v>
      </c>
      <c r="B106" s="185" t="s">
        <v>143</v>
      </c>
      <c r="C106" s="174" t="s">
        <v>2</v>
      </c>
      <c r="D106" s="179">
        <f>'[1]Свод'!C185</f>
        <v>3672</v>
      </c>
      <c r="E106" s="171">
        <f>'[1]Свод'!AH185</f>
        <v>44.64264227359999</v>
      </c>
      <c r="F106" s="172" t="s">
        <v>370</v>
      </c>
      <c r="G106" s="411"/>
      <c r="H106" s="411"/>
      <c r="I106" s="413"/>
    </row>
    <row r="107" spans="1:9" ht="12.75" outlineLevel="1">
      <c r="A107" s="186">
        <v>3</v>
      </c>
      <c r="B107" s="185" t="s">
        <v>145</v>
      </c>
      <c r="C107" s="174" t="s">
        <v>2</v>
      </c>
      <c r="D107" s="179">
        <f>'[1]Свод'!C186</f>
        <v>3672</v>
      </c>
      <c r="E107" s="171">
        <f>'[1]Свод'!AH186</f>
        <v>11.5698668</v>
      </c>
      <c r="F107" s="172" t="s">
        <v>370</v>
      </c>
      <c r="G107" s="411"/>
      <c r="H107" s="411"/>
      <c r="I107" s="413"/>
    </row>
    <row r="108" spans="1:9" ht="12.75" outlineLevel="1">
      <c r="A108" s="186">
        <v>4</v>
      </c>
      <c r="B108" s="185" t="s">
        <v>146</v>
      </c>
      <c r="C108" s="174" t="s">
        <v>2</v>
      </c>
      <c r="D108" s="179">
        <f>'[1]Свод'!C187</f>
        <v>3672</v>
      </c>
      <c r="E108" s="171">
        <f>'[1]Свод'!AH187</f>
        <v>11.5698668</v>
      </c>
      <c r="F108" s="172" t="s">
        <v>370</v>
      </c>
      <c r="G108" s="411"/>
      <c r="H108" s="411"/>
      <c r="I108" s="413"/>
    </row>
    <row r="109" spans="1:9" ht="12.75" outlineLevel="1">
      <c r="A109" s="186">
        <v>5</v>
      </c>
      <c r="B109" s="185" t="s">
        <v>147</v>
      </c>
      <c r="C109" s="174" t="s">
        <v>2</v>
      </c>
      <c r="D109" s="179">
        <f>'[1]Свод'!I188</f>
        <v>24</v>
      </c>
      <c r="E109" s="171">
        <f>'[1]Свод'!AH188</f>
        <v>0.5242653120000001</v>
      </c>
      <c r="F109" s="172" t="s">
        <v>370</v>
      </c>
      <c r="G109" s="411"/>
      <c r="H109" s="411"/>
      <c r="I109" s="413"/>
    </row>
    <row r="110" spans="1:9" ht="12.75" outlineLevel="1">
      <c r="A110" s="186">
        <v>6</v>
      </c>
      <c r="B110" s="185" t="s">
        <v>163</v>
      </c>
      <c r="C110" s="174" t="s">
        <v>2</v>
      </c>
      <c r="D110" s="179">
        <f>'[1]Свод'!I189</f>
        <v>24</v>
      </c>
      <c r="E110" s="171">
        <f>'[1]Свод'!AH189</f>
        <v>1.6039801244444447</v>
      </c>
      <c r="F110" s="172" t="s">
        <v>370</v>
      </c>
      <c r="G110" s="411"/>
      <c r="H110" s="411"/>
      <c r="I110" s="413"/>
    </row>
    <row r="111" spans="1:9" ht="12.75" outlineLevel="1">
      <c r="A111" s="186">
        <v>7</v>
      </c>
      <c r="B111" s="185" t="s">
        <v>148</v>
      </c>
      <c r="C111" s="174" t="s">
        <v>2</v>
      </c>
      <c r="D111" s="179">
        <f>'[1]Свод'!I190</f>
        <v>24</v>
      </c>
      <c r="E111" s="171">
        <f>'[1]Свод'!AH190</f>
        <v>0.7415999999999999</v>
      </c>
      <c r="F111" s="172" t="s">
        <v>370</v>
      </c>
      <c r="G111" s="411"/>
      <c r="H111" s="411"/>
      <c r="I111" s="413"/>
    </row>
    <row r="112" spans="1:9" ht="30.75" customHeight="1">
      <c r="A112" s="191" t="s">
        <v>60</v>
      </c>
      <c r="B112" s="192" t="s">
        <v>149</v>
      </c>
      <c r="C112" s="150" t="s">
        <v>1</v>
      </c>
      <c r="D112" s="150">
        <f>E112</f>
        <v>136.13008752</v>
      </c>
      <c r="E112" s="150">
        <f>SUM(E113:E114)</f>
        <v>136.13008752</v>
      </c>
      <c r="F112" s="148" t="s">
        <v>184</v>
      </c>
      <c r="G112" s="149" t="s">
        <v>371</v>
      </c>
      <c r="H112" s="149" t="s">
        <v>61</v>
      </c>
      <c r="I112" s="148"/>
    </row>
    <row r="113" spans="1:9" ht="25.5" outlineLevel="1">
      <c r="A113" s="172">
        <v>1</v>
      </c>
      <c r="B113" s="193" t="s">
        <v>329</v>
      </c>
      <c r="C113" s="194" t="s">
        <v>6</v>
      </c>
      <c r="D113" s="195">
        <f>'[1]Свод'!I206+'[1]Свод'!I207+'[1]Свод'!I208+'[1]Свод'!I209</f>
        <v>2108</v>
      </c>
      <c r="E113" s="196">
        <f>'[1]Свод'!AH206+'[1]Свод'!AH207+'[1]Свод'!AH208+'[1]Свод'!AH209</f>
        <v>86.13008751999999</v>
      </c>
      <c r="F113" s="197"/>
      <c r="G113" s="414"/>
      <c r="H113" s="414"/>
      <c r="I113" s="415"/>
    </row>
    <row r="114" spans="1:9" ht="12.75" outlineLevel="1">
      <c r="A114" s="172">
        <v>2</v>
      </c>
      <c r="B114" s="193" t="s">
        <v>150</v>
      </c>
      <c r="C114" s="194" t="s">
        <v>64</v>
      </c>
      <c r="D114" s="198">
        <f>E114</f>
        <v>50</v>
      </c>
      <c r="E114" s="196">
        <f>'[1]Свод'!AH242</f>
        <v>50</v>
      </c>
      <c r="F114" s="197"/>
      <c r="G114" s="414"/>
      <c r="H114" s="414"/>
      <c r="I114" s="416"/>
    </row>
    <row r="115" spans="1:9" ht="25.5" customHeight="1">
      <c r="A115" s="148" t="s">
        <v>65</v>
      </c>
      <c r="B115" s="149" t="s">
        <v>372</v>
      </c>
      <c r="C115" s="148" t="s">
        <v>1</v>
      </c>
      <c r="D115" s="150">
        <f>E115</f>
        <v>824.8265423893334</v>
      </c>
      <c r="E115" s="150">
        <f>SUM(E116:E120)</f>
        <v>824.8265423893334</v>
      </c>
      <c r="F115" s="148" t="s">
        <v>57</v>
      </c>
      <c r="G115" s="149" t="s">
        <v>66</v>
      </c>
      <c r="H115" s="149" t="s">
        <v>152</v>
      </c>
      <c r="I115" s="148"/>
    </row>
    <row r="116" spans="1:9" ht="12.75" customHeight="1" outlineLevel="1">
      <c r="A116" s="199">
        <v>1</v>
      </c>
      <c r="B116" s="200" t="s">
        <v>153</v>
      </c>
      <c r="C116" s="201" t="s">
        <v>170</v>
      </c>
      <c r="D116" s="202">
        <f>E116</f>
        <v>665.19</v>
      </c>
      <c r="E116" s="201">
        <v>665.19</v>
      </c>
      <c r="F116" s="197" t="s">
        <v>57</v>
      </c>
      <c r="G116" s="402" t="s">
        <v>66</v>
      </c>
      <c r="H116" s="402" t="s">
        <v>152</v>
      </c>
      <c r="I116" s="405"/>
    </row>
    <row r="117" spans="1:9" ht="13.5" customHeight="1" outlineLevel="1">
      <c r="A117" s="197">
        <v>2</v>
      </c>
      <c r="B117" s="193" t="s">
        <v>154</v>
      </c>
      <c r="C117" s="194" t="s">
        <v>2</v>
      </c>
      <c r="D117" s="203">
        <f>'[1]Свод'!S255+'[1]Свод'!W255+'[1]Свод'!Z255</f>
        <v>450.9401864574186</v>
      </c>
      <c r="E117" s="196">
        <f>'[1]Свод'!AH210+'[1]Свод'!AH211</f>
        <v>63.262509976000004</v>
      </c>
      <c r="F117" s="197" t="s">
        <v>57</v>
      </c>
      <c r="G117" s="403"/>
      <c r="H117" s="403"/>
      <c r="I117" s="397"/>
    </row>
    <row r="118" spans="1:9" ht="13.5" customHeight="1" outlineLevel="1">
      <c r="A118" s="197">
        <v>3</v>
      </c>
      <c r="B118" s="200" t="s">
        <v>155</v>
      </c>
      <c r="C118" s="194" t="s">
        <v>6</v>
      </c>
      <c r="D118" s="171">
        <f>'[1]Свод'!I212+'[1]Свод'!I213</f>
        <v>50</v>
      </c>
      <c r="E118" s="196">
        <f>'[1]Свод'!AH212+'[1]Свод'!AH213</f>
        <v>4.3588945599999995</v>
      </c>
      <c r="F118" s="197" t="s">
        <v>57</v>
      </c>
      <c r="G118" s="403"/>
      <c r="H118" s="403"/>
      <c r="I118" s="397"/>
    </row>
    <row r="119" spans="1:9" ht="15" customHeight="1" outlineLevel="1">
      <c r="A119" s="197">
        <v>4</v>
      </c>
      <c r="B119" s="200" t="s">
        <v>333</v>
      </c>
      <c r="C119" s="194" t="s">
        <v>6</v>
      </c>
      <c r="D119" s="171">
        <f>'[1]Свод'!I214</f>
        <v>248</v>
      </c>
      <c r="E119" s="196">
        <f>'[1]Свод'!AH214</f>
        <v>9.11142452</v>
      </c>
      <c r="F119" s="197" t="s">
        <v>57</v>
      </c>
      <c r="G119" s="403"/>
      <c r="H119" s="403"/>
      <c r="I119" s="397"/>
    </row>
    <row r="120" spans="1:9" ht="12.75" customHeight="1" outlineLevel="1">
      <c r="A120" s="197">
        <v>5</v>
      </c>
      <c r="B120" s="200" t="s">
        <v>156</v>
      </c>
      <c r="C120" s="194" t="s">
        <v>6</v>
      </c>
      <c r="D120" s="171">
        <f>'[1]Свод'!I215</f>
        <v>777.5833333333334</v>
      </c>
      <c r="E120" s="196">
        <f>'[1]Свод'!AH215</f>
        <v>82.90371333333334</v>
      </c>
      <c r="F120" s="197" t="s">
        <v>57</v>
      </c>
      <c r="G120" s="404"/>
      <c r="H120" s="404"/>
      <c r="I120" s="406"/>
    </row>
    <row r="121" spans="1:9" ht="30.75" customHeight="1">
      <c r="A121" s="148" t="s">
        <v>72</v>
      </c>
      <c r="B121" s="149" t="s">
        <v>373</v>
      </c>
      <c r="C121" s="148" t="s">
        <v>1</v>
      </c>
      <c r="D121" s="150" t="e">
        <f>E121</f>
        <v>#REF!</v>
      </c>
      <c r="E121" s="150" t="e">
        <f>SUM(E122:E124)+E128+E129+E130+E131+E132+E133+E137</f>
        <v>#REF!</v>
      </c>
      <c r="F121" s="148" t="s">
        <v>73</v>
      </c>
      <c r="G121" s="149" t="s">
        <v>74</v>
      </c>
      <c r="H121" s="149" t="s">
        <v>75</v>
      </c>
      <c r="I121" s="148"/>
    </row>
    <row r="122" spans="1:9" ht="36.75" customHeight="1">
      <c r="A122" s="199" t="s">
        <v>38</v>
      </c>
      <c r="B122" s="185" t="s">
        <v>386</v>
      </c>
      <c r="C122" s="199" t="s">
        <v>76</v>
      </c>
      <c r="D122" s="199">
        <f>'[1]Свод'!I24/10</f>
        <v>61</v>
      </c>
      <c r="E122" s="202">
        <f>'[1]Свод'!AH23</f>
        <v>48.50449471428571</v>
      </c>
      <c r="F122" s="199" t="s">
        <v>57</v>
      </c>
      <c r="G122" s="185"/>
      <c r="H122" s="185"/>
      <c r="I122" s="199"/>
    </row>
    <row r="123" spans="1:9" ht="21.75" customHeight="1">
      <c r="A123" s="199" t="s">
        <v>39</v>
      </c>
      <c r="B123" s="185" t="s">
        <v>374</v>
      </c>
      <c r="C123" s="199" t="s">
        <v>76</v>
      </c>
      <c r="D123" s="204">
        <f>'[1]Свод'!D6+'[1]Свод'!D7</f>
        <v>58</v>
      </c>
      <c r="E123" s="202">
        <f>'[1]Свод'!AH58+'[1]Свод'!AH59</f>
        <v>23.880905446285716</v>
      </c>
      <c r="F123" s="199" t="s">
        <v>57</v>
      </c>
      <c r="G123" s="185"/>
      <c r="H123" s="185"/>
      <c r="I123" s="199"/>
    </row>
    <row r="124" spans="1:9" ht="21.75" customHeight="1">
      <c r="A124" s="199" t="s">
        <v>40</v>
      </c>
      <c r="B124" s="185" t="s">
        <v>387</v>
      </c>
      <c r="C124" s="199" t="s">
        <v>76</v>
      </c>
      <c r="D124" s="204">
        <f>SUM(D125:D127)</f>
        <v>9.489</v>
      </c>
      <c r="E124" s="204">
        <f>SUM(E125:E127)</f>
        <v>38.698193488514285</v>
      </c>
      <c r="F124" s="199" t="s">
        <v>57</v>
      </c>
      <c r="G124" s="185"/>
      <c r="H124" s="185"/>
      <c r="I124" s="199"/>
    </row>
    <row r="125" spans="1:9" ht="26.25" customHeight="1" outlineLevel="1">
      <c r="A125" s="199"/>
      <c r="B125" s="185" t="s">
        <v>388</v>
      </c>
      <c r="C125" s="199" t="s">
        <v>76</v>
      </c>
      <c r="D125" s="205">
        <v>6</v>
      </c>
      <c r="E125" s="202">
        <f>'[1]Свод'!AH31</f>
        <v>17.587811651142857</v>
      </c>
      <c r="F125" s="199" t="s">
        <v>57</v>
      </c>
      <c r="G125" s="185"/>
      <c r="H125" s="185"/>
      <c r="I125" s="199"/>
    </row>
    <row r="126" spans="1:9" ht="26.25" customHeight="1" outlineLevel="1">
      <c r="A126" s="199"/>
      <c r="B126" s="185" t="s">
        <v>389</v>
      </c>
      <c r="C126" s="199" t="s">
        <v>76</v>
      </c>
      <c r="D126" s="206">
        <v>0.289</v>
      </c>
      <c r="E126" s="202">
        <f>'[1]Свод'!AH51</f>
        <v>10.307275028571429</v>
      </c>
      <c r="F126" s="199" t="s">
        <v>57</v>
      </c>
      <c r="G126" s="185"/>
      <c r="H126" s="185"/>
      <c r="I126" s="199"/>
    </row>
    <row r="127" spans="1:9" ht="30.75" customHeight="1" outlineLevel="1">
      <c r="A127" s="199"/>
      <c r="B127" s="207" t="s">
        <v>390</v>
      </c>
      <c r="C127" s="205" t="s">
        <v>76</v>
      </c>
      <c r="D127" s="205">
        <v>3.2</v>
      </c>
      <c r="E127" s="202">
        <f>'[1]Свод'!AH41</f>
        <v>10.8031068088</v>
      </c>
      <c r="F127" s="199" t="s">
        <v>57</v>
      </c>
      <c r="G127" s="185"/>
      <c r="H127" s="185"/>
      <c r="I127" s="199"/>
    </row>
    <row r="128" spans="1:9" ht="12.75">
      <c r="A128" s="233" t="s">
        <v>391</v>
      </c>
      <c r="B128" s="208" t="s">
        <v>80</v>
      </c>
      <c r="C128" s="194" t="s">
        <v>6</v>
      </c>
      <c r="D128" s="209">
        <f>'[1]Свод'!I16+'[1]Свод'!I17+'[1]Свод'!I18</f>
        <v>137</v>
      </c>
      <c r="E128" s="198">
        <f>'[1]Свод'!AH15</f>
        <v>7.376058111428571</v>
      </c>
      <c r="F128" s="194" t="s">
        <v>57</v>
      </c>
      <c r="G128" s="396" t="s">
        <v>74</v>
      </c>
      <c r="H128" s="396" t="s">
        <v>75</v>
      </c>
      <c r="I128" s="194"/>
    </row>
    <row r="129" spans="1:9" ht="25.5">
      <c r="A129" s="233" t="s">
        <v>392</v>
      </c>
      <c r="B129" s="208" t="s">
        <v>339</v>
      </c>
      <c r="C129" s="194" t="s">
        <v>76</v>
      </c>
      <c r="D129" s="209">
        <f>'[1]Свод'!C20</f>
        <v>66</v>
      </c>
      <c r="E129" s="201">
        <f>'[1]Свод'!AH19</f>
        <v>1.0688713043478262</v>
      </c>
      <c r="F129" s="194" t="s">
        <v>57</v>
      </c>
      <c r="G129" s="396"/>
      <c r="H129" s="396"/>
      <c r="I129" s="194"/>
    </row>
    <row r="130" spans="1:9" ht="12.75">
      <c r="A130" s="233" t="s">
        <v>393</v>
      </c>
      <c r="B130" s="208" t="s">
        <v>341</v>
      </c>
      <c r="C130" s="194" t="s">
        <v>6</v>
      </c>
      <c r="D130" s="209">
        <f>'[1]Свод'!I60</f>
        <v>124</v>
      </c>
      <c r="E130" s="201">
        <f>'[1]Свод'!AH60</f>
        <v>5.7640921714285716</v>
      </c>
      <c r="F130" s="194" t="s">
        <v>57</v>
      </c>
      <c r="G130" s="208"/>
      <c r="H130" s="208"/>
      <c r="I130" s="210"/>
    </row>
    <row r="131" spans="1:9" ht="22.5" customHeight="1">
      <c r="A131" s="233" t="s">
        <v>394</v>
      </c>
      <c r="B131" s="211" t="s">
        <v>83</v>
      </c>
      <c r="C131" s="194" t="s">
        <v>64</v>
      </c>
      <c r="D131" s="201">
        <f>E131</f>
        <v>0</v>
      </c>
      <c r="E131" s="201">
        <f>'[1]План закупок'!H182</f>
        <v>0</v>
      </c>
      <c r="F131" s="194" t="s">
        <v>57</v>
      </c>
      <c r="G131" s="396" t="s">
        <v>84</v>
      </c>
      <c r="H131" s="396" t="s">
        <v>75</v>
      </c>
      <c r="I131" s="407"/>
    </row>
    <row r="132" spans="1:9" ht="12.75">
      <c r="A132" s="233" t="s">
        <v>395</v>
      </c>
      <c r="B132" s="211" t="s">
        <v>86</v>
      </c>
      <c r="C132" s="194" t="s">
        <v>64</v>
      </c>
      <c r="D132" s="201" t="e">
        <f>E132</f>
        <v>#REF!</v>
      </c>
      <c r="E132" s="201" t="e">
        <f>#REF!</f>
        <v>#REF!</v>
      </c>
      <c r="F132" s="194" t="s">
        <v>185</v>
      </c>
      <c r="G132" s="396"/>
      <c r="H132" s="396"/>
      <c r="I132" s="408"/>
    </row>
    <row r="133" spans="1:9" ht="12.75">
      <c r="A133" s="233" t="s">
        <v>396</v>
      </c>
      <c r="B133" s="211" t="s">
        <v>23</v>
      </c>
      <c r="C133" s="194" t="s">
        <v>10</v>
      </c>
      <c r="D133" s="178">
        <v>50</v>
      </c>
      <c r="E133" s="201" t="e">
        <f>#REF!</f>
        <v>#REF!</v>
      </c>
      <c r="F133" s="194" t="s">
        <v>57</v>
      </c>
      <c r="G133" s="396"/>
      <c r="H133" s="396"/>
      <c r="I133" s="408"/>
    </row>
    <row r="134" spans="1:9" ht="12.75" outlineLevel="1">
      <c r="A134" s="194"/>
      <c r="B134" s="207" t="s">
        <v>106</v>
      </c>
      <c r="C134" s="194" t="s">
        <v>24</v>
      </c>
      <c r="D134" s="178">
        <f>'[1]План закупок'!F203</f>
        <v>100</v>
      </c>
      <c r="E134" s="201">
        <f>'[1]План закупок'!H203</f>
        <v>0</v>
      </c>
      <c r="F134" s="194"/>
      <c r="G134" s="396"/>
      <c r="H134" s="396"/>
      <c r="I134" s="408"/>
    </row>
    <row r="135" spans="1:9" ht="12.75" outlineLevel="1">
      <c r="A135" s="194"/>
      <c r="B135" s="212" t="s">
        <v>165</v>
      </c>
      <c r="C135" s="194" t="s">
        <v>90</v>
      </c>
      <c r="D135" s="178">
        <f>'[1]План закупок'!F204</f>
        <v>2</v>
      </c>
      <c r="E135" s="201">
        <f>'[1]План закупок'!H204</f>
        <v>0</v>
      </c>
      <c r="F135" s="194"/>
      <c r="G135" s="396"/>
      <c r="H135" s="396"/>
      <c r="I135" s="408"/>
    </row>
    <row r="136" spans="1:9" ht="12.75" outlineLevel="1">
      <c r="A136" s="194"/>
      <c r="B136" s="212" t="s">
        <v>98</v>
      </c>
      <c r="C136" s="194" t="s">
        <v>90</v>
      </c>
      <c r="D136" s="178">
        <f>'[1]План закупок'!F205</f>
        <v>200</v>
      </c>
      <c r="E136" s="201">
        <f>'[1]План закупок'!H205</f>
        <v>0</v>
      </c>
      <c r="F136" s="194"/>
      <c r="G136" s="396"/>
      <c r="H136" s="396"/>
      <c r="I136" s="408"/>
    </row>
    <row r="137" spans="1:9" ht="12.75" customHeight="1">
      <c r="A137" s="233" t="s">
        <v>397</v>
      </c>
      <c r="B137" s="211" t="s">
        <v>89</v>
      </c>
      <c r="C137" s="194" t="s">
        <v>64</v>
      </c>
      <c r="D137" s="201" t="e">
        <f>E137</f>
        <v>#REF!</v>
      </c>
      <c r="E137" s="201" t="e">
        <f>#REF!</f>
        <v>#REF!</v>
      </c>
      <c r="F137" s="395" t="s">
        <v>185</v>
      </c>
      <c r="G137" s="396"/>
      <c r="H137" s="396"/>
      <c r="I137" s="409"/>
    </row>
    <row r="138" spans="1:9" ht="12.75" outlineLevel="1">
      <c r="A138" s="233" t="s">
        <v>398</v>
      </c>
      <c r="B138" s="212" t="s">
        <v>93</v>
      </c>
      <c r="C138" s="213" t="s">
        <v>90</v>
      </c>
      <c r="D138" s="213">
        <f>'[1]План закупок'!F198</f>
        <v>3</v>
      </c>
      <c r="E138" s="202">
        <f>'[1]План закупок'!H198</f>
        <v>0</v>
      </c>
      <c r="F138" s="395"/>
      <c r="G138" s="396" t="s">
        <v>3</v>
      </c>
      <c r="H138" s="396"/>
      <c r="I138" s="397"/>
    </row>
    <row r="139" spans="1:9" ht="12.75" outlineLevel="1">
      <c r="A139" s="233" t="s">
        <v>399</v>
      </c>
      <c r="B139" s="212" t="s">
        <v>166</v>
      </c>
      <c r="C139" s="213" t="s">
        <v>92</v>
      </c>
      <c r="D139" s="213">
        <f>'[1]План закупок'!F199</f>
        <v>8</v>
      </c>
      <c r="E139" s="202">
        <f>'[1]План закупок'!H199</f>
        <v>0</v>
      </c>
      <c r="F139" s="395"/>
      <c r="G139" s="396"/>
      <c r="H139" s="396"/>
      <c r="I139" s="397"/>
    </row>
    <row r="140" spans="1:9" ht="12.75" outlineLevel="1">
      <c r="A140" s="233" t="s">
        <v>400</v>
      </c>
      <c r="B140" s="214" t="s">
        <v>167</v>
      </c>
      <c r="C140" s="213" t="s">
        <v>97</v>
      </c>
      <c r="D140" s="213">
        <f>'[1]План закупок'!F200</f>
        <v>3</v>
      </c>
      <c r="E140" s="202">
        <f>'[1]План закупок'!H200</f>
        <v>0</v>
      </c>
      <c r="F140" s="395"/>
      <c r="G140" s="396"/>
      <c r="H140" s="396"/>
      <c r="I140" s="397"/>
    </row>
    <row r="141" spans="1:9" ht="12.75" outlineLevel="1">
      <c r="A141" s="233" t="s">
        <v>401</v>
      </c>
      <c r="B141" s="214" t="s">
        <v>308</v>
      </c>
      <c r="C141" s="213" t="s">
        <v>90</v>
      </c>
      <c r="D141" s="213">
        <f>'[1]План закупок'!F201</f>
        <v>15</v>
      </c>
      <c r="E141" s="202">
        <f>'[1]План закупок'!H201</f>
        <v>0</v>
      </c>
      <c r="F141" s="395"/>
      <c r="G141" s="396"/>
      <c r="H141" s="396"/>
      <c r="I141" s="397"/>
    </row>
    <row r="142" spans="1:9" ht="31.5" customHeight="1">
      <c r="A142" s="148">
        <v>5</v>
      </c>
      <c r="B142" s="149" t="s">
        <v>99</v>
      </c>
      <c r="C142" s="148" t="s">
        <v>76</v>
      </c>
      <c r="D142" s="215">
        <f>SUM(D143:D145)</f>
        <v>450.9401864574186</v>
      </c>
      <c r="E142" s="215">
        <f>SUM(E143:E145)</f>
        <v>4134.64310026095</v>
      </c>
      <c r="F142" s="148" t="s">
        <v>186</v>
      </c>
      <c r="G142" s="149" t="s">
        <v>375</v>
      </c>
      <c r="H142" s="149" t="s">
        <v>67</v>
      </c>
      <c r="I142" s="148"/>
    </row>
    <row r="143" spans="1:9" ht="12.75" customHeight="1">
      <c r="A143" s="194" t="s">
        <v>41</v>
      </c>
      <c r="B143" s="194" t="s">
        <v>101</v>
      </c>
      <c r="C143" s="395" t="s">
        <v>76</v>
      </c>
      <c r="D143" s="178">
        <f>'[1]Свод'!S255</f>
        <v>321.6557577666666</v>
      </c>
      <c r="E143" s="178">
        <f>'[1]Свод'!T255</f>
        <v>2991.39854723</v>
      </c>
      <c r="F143" s="395" t="s">
        <v>186</v>
      </c>
      <c r="G143" s="396"/>
      <c r="H143" s="396"/>
      <c r="I143" s="398"/>
    </row>
    <row r="144" spans="1:9" ht="12.75">
      <c r="A144" s="194" t="s">
        <v>42</v>
      </c>
      <c r="B144" s="194" t="s">
        <v>103</v>
      </c>
      <c r="C144" s="395"/>
      <c r="D144" s="178">
        <f>'[1]Свод'!W255</f>
        <v>112.02657625915799</v>
      </c>
      <c r="E144" s="178">
        <f>'[1]Свод'!X255</f>
        <v>1125.9867005993556</v>
      </c>
      <c r="F144" s="395"/>
      <c r="G144" s="396"/>
      <c r="H144" s="396"/>
      <c r="I144" s="399"/>
    </row>
    <row r="145" spans="1:9" ht="12.75">
      <c r="A145" s="194" t="s">
        <v>43</v>
      </c>
      <c r="B145" s="194" t="s">
        <v>104</v>
      </c>
      <c r="C145" s="395"/>
      <c r="D145" s="178">
        <f>'[1]Свод'!Z255</f>
        <v>17.257852431593967</v>
      </c>
      <c r="E145" s="178">
        <f>'[1]Свод'!Z255</f>
        <v>17.257852431593967</v>
      </c>
      <c r="F145" s="395"/>
      <c r="G145" s="396"/>
      <c r="H145" s="396"/>
      <c r="I145" s="400"/>
    </row>
    <row r="146" spans="1:9" ht="25.5">
      <c r="A146" s="148">
        <v>6</v>
      </c>
      <c r="B146" s="149" t="s">
        <v>330</v>
      </c>
      <c r="C146" s="148" t="s">
        <v>191</v>
      </c>
      <c r="D146" s="215">
        <f>E146</f>
        <v>322.40999999999997</v>
      </c>
      <c r="E146" s="215">
        <f>E147+E148</f>
        <v>322.40999999999997</v>
      </c>
      <c r="F146" s="148" t="s">
        <v>57</v>
      </c>
      <c r="G146" s="149" t="s">
        <v>334</v>
      </c>
      <c r="H146" s="149" t="s">
        <v>307</v>
      </c>
      <c r="I146" s="216"/>
    </row>
    <row r="147" spans="1:9" ht="22.5">
      <c r="A147" s="199" t="s">
        <v>309</v>
      </c>
      <c r="B147" s="46" t="s">
        <v>350</v>
      </c>
      <c r="C147" s="194" t="s">
        <v>191</v>
      </c>
      <c r="D147" s="204"/>
      <c r="E147" s="9">
        <v>184.165</v>
      </c>
      <c r="F147" s="199"/>
      <c r="G147" s="217"/>
      <c r="H147" s="217"/>
      <c r="I147" s="218"/>
    </row>
    <row r="148" spans="1:9" ht="16.5" customHeight="1">
      <c r="A148" s="199" t="s">
        <v>310</v>
      </c>
      <c r="B148" s="46" t="s">
        <v>351</v>
      </c>
      <c r="C148" s="194" t="s">
        <v>191</v>
      </c>
      <c r="D148" s="204"/>
      <c r="E148" s="9">
        <v>138.245</v>
      </c>
      <c r="F148" s="199"/>
      <c r="G148" s="217"/>
      <c r="H148" s="217"/>
      <c r="I148" s="218"/>
    </row>
    <row r="149" spans="1:9" ht="15" customHeight="1">
      <c r="A149" s="401" t="s">
        <v>105</v>
      </c>
      <c r="B149" s="401"/>
      <c r="C149" s="146" t="s">
        <v>4</v>
      </c>
      <c r="D149" s="146" t="s">
        <v>4</v>
      </c>
      <c r="E149" s="219">
        <f>'[1]Свод'!AH255</f>
        <v>12569.326933898612</v>
      </c>
      <c r="F149" s="146" t="s">
        <v>4</v>
      </c>
      <c r="G149" s="146" t="s">
        <v>4</v>
      </c>
      <c r="H149" s="146" t="s">
        <v>4</v>
      </c>
      <c r="I149" s="146" t="s">
        <v>4</v>
      </c>
    </row>
    <row r="150" spans="1:9" ht="21" customHeight="1">
      <c r="A150" s="220"/>
      <c r="B150" s="220"/>
      <c r="C150" s="220"/>
      <c r="D150" s="220"/>
      <c r="E150" s="220"/>
      <c r="F150" s="220"/>
      <c r="G150" s="220"/>
      <c r="H150" s="220"/>
      <c r="I150" s="220"/>
    </row>
    <row r="151" spans="1:9" ht="21" customHeight="1">
      <c r="A151" s="393" t="s">
        <v>376</v>
      </c>
      <c r="B151" s="393"/>
      <c r="C151" s="393"/>
      <c r="D151" s="393"/>
      <c r="E151" s="393"/>
      <c r="F151" s="220"/>
      <c r="G151" s="220"/>
      <c r="H151" s="221" t="s">
        <v>377</v>
      </c>
      <c r="I151" s="220"/>
    </row>
    <row r="152" spans="1:9" ht="21" customHeight="1">
      <c r="A152" s="394" t="s">
        <v>378</v>
      </c>
      <c r="B152" s="394"/>
      <c r="C152" s="220"/>
      <c r="D152" s="220"/>
      <c r="E152" s="222"/>
      <c r="F152" s="220"/>
      <c r="G152" s="220"/>
      <c r="H152" s="220"/>
      <c r="I152" s="220"/>
    </row>
    <row r="153" spans="1:9" s="139" customFormat="1" ht="21" customHeight="1">
      <c r="A153" s="392" t="s">
        <v>379</v>
      </c>
      <c r="B153" s="392"/>
      <c r="C153" s="392"/>
      <c r="D153" s="392"/>
      <c r="E153" s="392"/>
      <c r="F153" s="224"/>
      <c r="G153" s="224"/>
      <c r="H153" s="224" t="s">
        <v>349</v>
      </c>
      <c r="I153" s="224"/>
    </row>
    <row r="154" spans="1:9" s="139" customFormat="1" ht="21" customHeight="1">
      <c r="A154" s="392" t="s">
        <v>380</v>
      </c>
      <c r="B154" s="392"/>
      <c r="C154" s="392"/>
      <c r="D154" s="392"/>
      <c r="E154" s="392"/>
      <c r="F154" s="225"/>
      <c r="G154" s="224"/>
      <c r="H154" s="224" t="s">
        <v>348</v>
      </c>
      <c r="I154" s="224"/>
    </row>
    <row r="155" spans="1:9" s="139" customFormat="1" ht="21" customHeight="1">
      <c r="A155" s="392" t="s">
        <v>381</v>
      </c>
      <c r="B155" s="392"/>
      <c r="C155" s="392"/>
      <c r="D155" s="392"/>
      <c r="E155" s="224"/>
      <c r="F155" s="224"/>
      <c r="G155" s="224"/>
      <c r="H155" s="224" t="s">
        <v>346</v>
      </c>
      <c r="I155" s="224"/>
    </row>
    <row r="156" spans="1:9" s="139" customFormat="1" ht="21" customHeight="1">
      <c r="A156" s="392" t="s">
        <v>382</v>
      </c>
      <c r="B156" s="392"/>
      <c r="C156" s="392"/>
      <c r="D156" s="392"/>
      <c r="E156" s="392"/>
      <c r="F156" s="224"/>
      <c r="G156" s="224"/>
      <c r="H156" s="223" t="s">
        <v>347</v>
      </c>
      <c r="I156" s="224"/>
    </row>
    <row r="157" spans="1:9" ht="12.75">
      <c r="A157" s="220"/>
      <c r="B157" s="220"/>
      <c r="C157" s="220"/>
      <c r="D157" s="220"/>
      <c r="E157" s="220"/>
      <c r="F157" s="220"/>
      <c r="G157" s="220"/>
      <c r="H157" s="220"/>
      <c r="I157" s="220"/>
    </row>
    <row r="158" spans="1:9" ht="12.75">
      <c r="A158" s="220"/>
      <c r="B158" s="220"/>
      <c r="C158" s="220"/>
      <c r="D158" s="220"/>
      <c r="E158" s="220"/>
      <c r="F158" s="220"/>
      <c r="G158" s="220"/>
      <c r="H158" s="220"/>
      <c r="I158" s="220"/>
    </row>
    <row r="159" spans="1:9" ht="12.75">
      <c r="A159" s="220"/>
      <c r="B159" s="220"/>
      <c r="C159" s="220"/>
      <c r="D159" s="220"/>
      <c r="E159" s="220"/>
      <c r="F159" s="220"/>
      <c r="G159" s="220"/>
      <c r="H159" s="220"/>
      <c r="I159" s="220"/>
    </row>
    <row r="160" spans="1:9" ht="12.75">
      <c r="A160" s="220"/>
      <c r="B160" s="220"/>
      <c r="C160" s="220"/>
      <c r="D160" s="220"/>
      <c r="E160" s="220"/>
      <c r="F160" s="220"/>
      <c r="G160" s="220"/>
      <c r="H160" s="220"/>
      <c r="I160" s="220"/>
    </row>
    <row r="161" spans="1:9" ht="12.75">
      <c r="A161" s="220"/>
      <c r="B161" s="220"/>
      <c r="C161" s="220"/>
      <c r="D161" s="220"/>
      <c r="E161" s="220"/>
      <c r="F161" s="220"/>
      <c r="G161" s="220"/>
      <c r="H161" s="220"/>
      <c r="I161" s="220"/>
    </row>
    <row r="162" spans="1:9" ht="12.75">
      <c r="A162" s="220"/>
      <c r="B162" s="220"/>
      <c r="C162" s="220"/>
      <c r="D162" s="220"/>
      <c r="E162" s="220"/>
      <c r="F162" s="220"/>
      <c r="G162" s="220"/>
      <c r="H162" s="220"/>
      <c r="I162" s="220"/>
    </row>
    <row r="163" spans="1:9" ht="12.75">
      <c r="A163" s="220"/>
      <c r="B163" s="220"/>
      <c r="C163" s="220"/>
      <c r="D163" s="220"/>
      <c r="E163" s="220"/>
      <c r="F163" s="220"/>
      <c r="G163" s="220"/>
      <c r="H163" s="220"/>
      <c r="I163" s="220"/>
    </row>
  </sheetData>
  <sheetProtection/>
  <mergeCells count="36">
    <mergeCell ref="A1:B1"/>
    <mergeCell ref="A2:B2"/>
    <mergeCell ref="A3:B3"/>
    <mergeCell ref="A4:B4"/>
    <mergeCell ref="A5:B5"/>
    <mergeCell ref="A6:I6"/>
    <mergeCell ref="I131:I137"/>
    <mergeCell ref="G11:G111"/>
    <mergeCell ref="H11:H111"/>
    <mergeCell ref="I11:I111"/>
    <mergeCell ref="G113:G114"/>
    <mergeCell ref="H113:H114"/>
    <mergeCell ref="I113:I114"/>
    <mergeCell ref="I138:I141"/>
    <mergeCell ref="I143:I145"/>
    <mergeCell ref="A149:B149"/>
    <mergeCell ref="G116:G120"/>
    <mergeCell ref="H116:H120"/>
    <mergeCell ref="I116:I120"/>
    <mergeCell ref="G128:G129"/>
    <mergeCell ref="H128:H129"/>
    <mergeCell ref="G131:G137"/>
    <mergeCell ref="H131:H137"/>
    <mergeCell ref="C143:C145"/>
    <mergeCell ref="F143:F145"/>
    <mergeCell ref="G143:G145"/>
    <mergeCell ref="H143:H145"/>
    <mergeCell ref="F137:F141"/>
    <mergeCell ref="G138:G141"/>
    <mergeCell ref="H138:H141"/>
    <mergeCell ref="A153:E153"/>
    <mergeCell ref="A154:E154"/>
    <mergeCell ref="A155:D155"/>
    <mergeCell ref="A156:E156"/>
    <mergeCell ref="A151:E151"/>
    <mergeCell ref="A152:B152"/>
  </mergeCells>
  <printOptions/>
  <pageMargins left="0.75" right="0.75" top="1" bottom="1" header="0.5" footer="0.5"/>
  <pageSetup horizontalDpi="600" verticalDpi="600" orientation="landscape" paperSize="9" scale="78" r:id="rId1"/>
  <rowBreaks count="2" manualBreakCount="2">
    <brk id="112" max="8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27"/>
  <sheetViews>
    <sheetView zoomScalePageLayoutView="0" workbookViewId="0" topLeftCell="A4">
      <pane xSplit="2" ySplit="10" topLeftCell="C23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E11" sqref="E11:E12"/>
    </sheetView>
  </sheetViews>
  <sheetFormatPr defaultColWidth="9.00390625" defaultRowHeight="12.75"/>
  <cols>
    <col min="1" max="1" width="5.125" style="238" customWidth="1"/>
    <col min="2" max="2" width="17.875" style="238" customWidth="1"/>
    <col min="3" max="14" width="6.75390625" style="238" customWidth="1"/>
    <col min="15" max="15" width="8.125" style="238" customWidth="1"/>
    <col min="16" max="19" width="6.75390625" style="238" customWidth="1"/>
    <col min="20" max="20" width="9.125" style="238" customWidth="1"/>
    <col min="21" max="21" width="12.25390625" style="238" bestFit="1" customWidth="1"/>
    <col min="22" max="16384" width="9.125" style="238" customWidth="1"/>
  </cols>
  <sheetData>
    <row r="1" ht="15.75">
      <c r="R1" s="238" t="s">
        <v>472</v>
      </c>
    </row>
    <row r="2" spans="1:19" s="257" customFormat="1" ht="30.75" customHeight="1">
      <c r="A2" s="366" t="s">
        <v>471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ht="13.5" customHeight="1"/>
    <row r="4" spans="1:19" ht="27.75" customHeight="1">
      <c r="A4" s="422" t="s">
        <v>107</v>
      </c>
      <c r="B4" s="422" t="s">
        <v>437</v>
      </c>
      <c r="C4" s="422" t="s">
        <v>438</v>
      </c>
      <c r="D4" s="422"/>
      <c r="E4" s="422"/>
      <c r="F4" s="422"/>
      <c r="G4" s="422"/>
      <c r="H4" s="422"/>
      <c r="I4" s="423" t="s">
        <v>439</v>
      </c>
      <c r="J4" s="424"/>
      <c r="K4" s="424"/>
      <c r="L4" s="424"/>
      <c r="M4" s="424"/>
      <c r="N4" s="424"/>
      <c r="O4" s="424"/>
      <c r="P4" s="424"/>
      <c r="Q4" s="424"/>
      <c r="R4" s="424"/>
      <c r="S4" s="425"/>
    </row>
    <row r="5" spans="1:19" ht="15.75">
      <c r="A5" s="422"/>
      <c r="B5" s="422"/>
      <c r="C5" s="422" t="s">
        <v>189</v>
      </c>
      <c r="D5" s="422" t="s">
        <v>440</v>
      </c>
      <c r="E5" s="422"/>
      <c r="F5" s="422"/>
      <c r="G5" s="422"/>
      <c r="H5" s="422"/>
      <c r="I5" s="426" t="s">
        <v>441</v>
      </c>
      <c r="J5" s="422" t="s">
        <v>442</v>
      </c>
      <c r="K5" s="422"/>
      <c r="L5" s="422"/>
      <c r="M5" s="422"/>
      <c r="N5" s="422"/>
      <c r="O5" s="422"/>
      <c r="P5" s="419" t="s">
        <v>443</v>
      </c>
      <c r="Q5" s="419" t="s">
        <v>444</v>
      </c>
      <c r="R5" s="419" t="s">
        <v>445</v>
      </c>
      <c r="S5" s="426" t="s">
        <v>446</v>
      </c>
    </row>
    <row r="6" spans="1:19" ht="15.75" customHeight="1" hidden="1">
      <c r="A6" s="422"/>
      <c r="B6" s="422"/>
      <c r="C6" s="422"/>
      <c r="D6" s="422"/>
      <c r="E6" s="422"/>
      <c r="F6" s="422"/>
      <c r="G6" s="422"/>
      <c r="H6" s="422"/>
      <c r="I6" s="427"/>
      <c r="J6" s="422"/>
      <c r="K6" s="422"/>
      <c r="L6" s="422"/>
      <c r="M6" s="422"/>
      <c r="N6" s="422"/>
      <c r="O6" s="422"/>
      <c r="P6" s="419"/>
      <c r="Q6" s="419"/>
      <c r="R6" s="419"/>
      <c r="S6" s="427"/>
    </row>
    <row r="7" spans="1:19" ht="15.75" customHeight="1" hidden="1">
      <c r="A7" s="422"/>
      <c r="B7" s="422"/>
      <c r="C7" s="422"/>
      <c r="D7" s="422"/>
      <c r="E7" s="422"/>
      <c r="F7" s="422"/>
      <c r="G7" s="422"/>
      <c r="H7" s="422"/>
      <c r="I7" s="427"/>
      <c r="J7" s="422"/>
      <c r="K7" s="422"/>
      <c r="L7" s="422"/>
      <c r="M7" s="422"/>
      <c r="N7" s="422"/>
      <c r="O7" s="422"/>
      <c r="P7" s="419"/>
      <c r="Q7" s="419"/>
      <c r="R7" s="419"/>
      <c r="S7" s="427"/>
    </row>
    <row r="8" spans="1:19" ht="15.75" customHeight="1" hidden="1">
      <c r="A8" s="422"/>
      <c r="B8" s="422"/>
      <c r="C8" s="422"/>
      <c r="D8" s="422"/>
      <c r="E8" s="422"/>
      <c r="F8" s="422"/>
      <c r="G8" s="422"/>
      <c r="H8" s="422"/>
      <c r="I8" s="427"/>
      <c r="J8" s="422"/>
      <c r="K8" s="422"/>
      <c r="L8" s="422"/>
      <c r="M8" s="422"/>
      <c r="N8" s="422"/>
      <c r="O8" s="422"/>
      <c r="P8" s="419"/>
      <c r="Q8" s="419"/>
      <c r="R8" s="419"/>
      <c r="S8" s="427"/>
    </row>
    <row r="9" spans="1:19" ht="15.75" customHeight="1" hidden="1">
      <c r="A9" s="422"/>
      <c r="B9" s="422"/>
      <c r="C9" s="422"/>
      <c r="D9" s="422"/>
      <c r="E9" s="422"/>
      <c r="F9" s="422"/>
      <c r="G9" s="422"/>
      <c r="H9" s="422"/>
      <c r="I9" s="427"/>
      <c r="J9" s="422"/>
      <c r="K9" s="422"/>
      <c r="L9" s="422"/>
      <c r="M9" s="422"/>
      <c r="N9" s="422"/>
      <c r="O9" s="422"/>
      <c r="P9" s="419"/>
      <c r="Q9" s="419"/>
      <c r="R9" s="419"/>
      <c r="S9" s="427"/>
    </row>
    <row r="10" spans="1:19" ht="15.75" customHeight="1" hidden="1">
      <c r="A10" s="422"/>
      <c r="B10" s="422"/>
      <c r="C10" s="422"/>
      <c r="D10" s="422"/>
      <c r="E10" s="422"/>
      <c r="F10" s="422"/>
      <c r="G10" s="422"/>
      <c r="H10" s="422"/>
      <c r="I10" s="427"/>
      <c r="J10" s="422"/>
      <c r="K10" s="422"/>
      <c r="L10" s="422"/>
      <c r="M10" s="422"/>
      <c r="N10" s="422"/>
      <c r="O10" s="422"/>
      <c r="P10" s="419"/>
      <c r="Q10" s="419"/>
      <c r="R10" s="419"/>
      <c r="S10" s="427"/>
    </row>
    <row r="11" spans="1:19" ht="15.75">
      <c r="A11" s="422"/>
      <c r="B11" s="422"/>
      <c r="C11" s="422"/>
      <c r="D11" s="419" t="s">
        <v>447</v>
      </c>
      <c r="E11" s="419" t="s">
        <v>448</v>
      </c>
      <c r="F11" s="419" t="s">
        <v>449</v>
      </c>
      <c r="G11" s="419" t="s">
        <v>450</v>
      </c>
      <c r="H11" s="419" t="s">
        <v>451</v>
      </c>
      <c r="I11" s="427"/>
      <c r="J11" s="429" t="s">
        <v>189</v>
      </c>
      <c r="K11" s="422" t="s">
        <v>452</v>
      </c>
      <c r="L11" s="422"/>
      <c r="M11" s="422"/>
      <c r="N11" s="422"/>
      <c r="O11" s="420" t="s">
        <v>470</v>
      </c>
      <c r="P11" s="419"/>
      <c r="Q11" s="419"/>
      <c r="R11" s="419"/>
      <c r="S11" s="427"/>
    </row>
    <row r="12" spans="1:19" ht="130.5" customHeight="1">
      <c r="A12" s="422"/>
      <c r="B12" s="422"/>
      <c r="C12" s="422"/>
      <c r="D12" s="419"/>
      <c r="E12" s="419"/>
      <c r="F12" s="419"/>
      <c r="G12" s="419"/>
      <c r="H12" s="419"/>
      <c r="I12" s="428"/>
      <c r="J12" s="430"/>
      <c r="K12" s="263" t="s">
        <v>453</v>
      </c>
      <c r="L12" s="263" t="s">
        <v>469</v>
      </c>
      <c r="M12" s="263" t="s">
        <v>454</v>
      </c>
      <c r="N12" s="263" t="s">
        <v>455</v>
      </c>
      <c r="O12" s="421"/>
      <c r="P12" s="419"/>
      <c r="Q12" s="419"/>
      <c r="R12" s="419"/>
      <c r="S12" s="428"/>
    </row>
    <row r="13" spans="1:19" ht="15.75">
      <c r="A13" s="258">
        <v>1</v>
      </c>
      <c r="B13" s="258">
        <v>2</v>
      </c>
      <c r="C13" s="258">
        <v>3</v>
      </c>
      <c r="D13" s="258">
        <v>4</v>
      </c>
      <c r="E13" s="258">
        <v>5</v>
      </c>
      <c r="F13" s="258">
        <v>6</v>
      </c>
      <c r="G13" s="258">
        <v>7</v>
      </c>
      <c r="H13" s="258">
        <v>8</v>
      </c>
      <c r="I13" s="258">
        <v>9</v>
      </c>
      <c r="J13" s="258">
        <v>10</v>
      </c>
      <c r="K13" s="258">
        <v>11</v>
      </c>
      <c r="L13" s="258">
        <v>12</v>
      </c>
      <c r="M13" s="258">
        <v>13</v>
      </c>
      <c r="N13" s="258">
        <v>14</v>
      </c>
      <c r="O13" s="258">
        <v>15</v>
      </c>
      <c r="P13" s="258">
        <v>16</v>
      </c>
      <c r="Q13" s="258">
        <v>17</v>
      </c>
      <c r="R13" s="258">
        <v>18</v>
      </c>
      <c r="S13" s="258">
        <v>19</v>
      </c>
    </row>
    <row r="14" spans="1:19" ht="12.75" customHeight="1">
      <c r="A14" s="261">
        <v>1</v>
      </c>
      <c r="B14" s="261" t="s">
        <v>456</v>
      </c>
      <c r="C14" s="293">
        <f>SUM(D14:H14)</f>
        <v>586</v>
      </c>
      <c r="D14" s="293">
        <v>38</v>
      </c>
      <c r="E14" s="293">
        <v>39</v>
      </c>
      <c r="F14" s="293">
        <f>91+20</f>
        <v>111</v>
      </c>
      <c r="G14" s="293">
        <f>187+20</f>
        <v>207</v>
      </c>
      <c r="H14" s="293">
        <f>191</f>
        <v>191</v>
      </c>
      <c r="I14" s="293">
        <f>J14+P14+Q14</f>
        <v>313</v>
      </c>
      <c r="J14" s="293">
        <f>K14+L14+M14+N14</f>
        <v>166</v>
      </c>
      <c r="K14" s="293">
        <v>31</v>
      </c>
      <c r="L14" s="293">
        <v>43</v>
      </c>
      <c r="M14" s="293">
        <v>17</v>
      </c>
      <c r="N14" s="293">
        <v>75</v>
      </c>
      <c r="O14" s="298">
        <f>J14/I14*100</f>
        <v>53.03514376996805</v>
      </c>
      <c r="P14" s="293">
        <v>74</v>
      </c>
      <c r="Q14" s="293">
        <v>73</v>
      </c>
      <c r="R14" s="298">
        <f>Q14/I14*100</f>
        <v>23.322683706070286</v>
      </c>
      <c r="S14" s="293">
        <v>12743</v>
      </c>
    </row>
    <row r="15" spans="1:19" ht="12.75" customHeight="1">
      <c r="A15" s="261">
        <v>2</v>
      </c>
      <c r="B15" s="261" t="s">
        <v>457</v>
      </c>
      <c r="C15" s="293">
        <f aca="true" t="shared" si="0" ref="C15:C26">SUM(D15:H15)</f>
        <v>784</v>
      </c>
      <c r="D15" s="293">
        <v>30</v>
      </c>
      <c r="E15" s="293">
        <v>97</v>
      </c>
      <c r="F15" s="293">
        <f>151-20</f>
        <v>131</v>
      </c>
      <c r="G15" s="293">
        <f>383-75-20-20</f>
        <v>268</v>
      </c>
      <c r="H15" s="293">
        <f>198+60</f>
        <v>258</v>
      </c>
      <c r="I15" s="293">
        <f aca="true" t="shared" si="1" ref="I15:I26">J15+P15+Q15</f>
        <v>451</v>
      </c>
      <c r="J15" s="293">
        <f aca="true" t="shared" si="2" ref="J15:J26">K15+L15+M15+N15</f>
        <v>177</v>
      </c>
      <c r="K15" s="293">
        <v>30</v>
      </c>
      <c r="L15" s="293">
        <v>42</v>
      </c>
      <c r="M15" s="293">
        <v>19</v>
      </c>
      <c r="N15" s="293">
        <v>86</v>
      </c>
      <c r="O15" s="298">
        <f aca="true" t="shared" si="3" ref="O15:O27">J15/I15*100</f>
        <v>39.24611973392461</v>
      </c>
      <c r="P15" s="293">
        <v>103</v>
      </c>
      <c r="Q15" s="293">
        <v>171</v>
      </c>
      <c r="R15" s="298">
        <f aca="true" t="shared" si="4" ref="R15:R27">Q15/I15*100</f>
        <v>37.91574279379157</v>
      </c>
      <c r="S15" s="293">
        <v>12369</v>
      </c>
    </row>
    <row r="16" spans="1:19" ht="12.75" customHeight="1">
      <c r="A16" s="261">
        <v>3</v>
      </c>
      <c r="B16" s="261" t="s">
        <v>458</v>
      </c>
      <c r="C16" s="293">
        <f t="shared" si="0"/>
        <v>480</v>
      </c>
      <c r="D16" s="293">
        <v>35</v>
      </c>
      <c r="E16" s="293">
        <v>52</v>
      </c>
      <c r="F16" s="293">
        <f>98+6</f>
        <v>104</v>
      </c>
      <c r="G16" s="293">
        <f>165</f>
        <v>165</v>
      </c>
      <c r="H16" s="293">
        <f>118+6</f>
        <v>124</v>
      </c>
      <c r="I16" s="293">
        <f t="shared" si="1"/>
        <v>270</v>
      </c>
      <c r="J16" s="293">
        <f t="shared" si="2"/>
        <v>184</v>
      </c>
      <c r="K16" s="293">
        <v>56</v>
      </c>
      <c r="L16" s="293">
        <v>20</v>
      </c>
      <c r="M16" s="293">
        <v>25</v>
      </c>
      <c r="N16" s="293">
        <v>83</v>
      </c>
      <c r="O16" s="298">
        <f t="shared" si="3"/>
        <v>68.14814814814815</v>
      </c>
      <c r="P16" s="293">
        <v>32</v>
      </c>
      <c r="Q16" s="293">
        <v>54</v>
      </c>
      <c r="R16" s="298">
        <f t="shared" si="4"/>
        <v>20</v>
      </c>
      <c r="S16" s="293">
        <v>12401</v>
      </c>
    </row>
    <row r="17" spans="1:19" ht="12.75" customHeight="1">
      <c r="A17" s="261">
        <v>4</v>
      </c>
      <c r="B17" s="261" t="s">
        <v>459</v>
      </c>
      <c r="C17" s="293">
        <f t="shared" si="0"/>
        <v>513</v>
      </c>
      <c r="D17" s="293">
        <v>40</v>
      </c>
      <c r="E17" s="293">
        <v>72</v>
      </c>
      <c r="F17" s="293">
        <f>58</f>
        <v>58</v>
      </c>
      <c r="G17" s="293">
        <f>230-20</f>
        <v>210</v>
      </c>
      <c r="H17" s="293">
        <f>133</f>
        <v>133</v>
      </c>
      <c r="I17" s="293">
        <f t="shared" si="1"/>
        <v>372</v>
      </c>
      <c r="J17" s="293">
        <f t="shared" si="2"/>
        <v>198</v>
      </c>
      <c r="K17" s="293">
        <v>58</v>
      </c>
      <c r="L17" s="293">
        <v>39</v>
      </c>
      <c r="M17" s="293">
        <v>19</v>
      </c>
      <c r="N17" s="293">
        <v>82</v>
      </c>
      <c r="O17" s="298">
        <f t="shared" si="3"/>
        <v>53.2258064516129</v>
      </c>
      <c r="P17" s="293">
        <v>101</v>
      </c>
      <c r="Q17" s="293">
        <v>73</v>
      </c>
      <c r="R17" s="298">
        <f t="shared" si="4"/>
        <v>19.623655913978492</v>
      </c>
      <c r="S17" s="293">
        <v>12548</v>
      </c>
    </row>
    <row r="18" spans="1:19" ht="12.75" customHeight="1">
      <c r="A18" s="261">
        <v>5</v>
      </c>
      <c r="B18" s="261" t="s">
        <v>460</v>
      </c>
      <c r="C18" s="293">
        <f t="shared" si="0"/>
        <v>465</v>
      </c>
      <c r="D18" s="293">
        <v>26</v>
      </c>
      <c r="E18" s="293">
        <v>52</v>
      </c>
      <c r="F18" s="293">
        <v>81</v>
      </c>
      <c r="G18" s="293">
        <f>208-38-20</f>
        <v>150</v>
      </c>
      <c r="H18" s="293">
        <v>156</v>
      </c>
      <c r="I18" s="293">
        <f t="shared" si="1"/>
        <v>284</v>
      </c>
      <c r="J18" s="293">
        <f t="shared" si="2"/>
        <v>156</v>
      </c>
      <c r="K18" s="293">
        <v>35</v>
      </c>
      <c r="L18" s="293">
        <v>45</v>
      </c>
      <c r="M18" s="293">
        <v>6</v>
      </c>
      <c r="N18" s="293">
        <v>70</v>
      </c>
      <c r="O18" s="298">
        <f t="shared" si="3"/>
        <v>54.929577464788736</v>
      </c>
      <c r="P18" s="293">
        <v>71</v>
      </c>
      <c r="Q18" s="293">
        <v>57</v>
      </c>
      <c r="R18" s="298">
        <f t="shared" si="4"/>
        <v>20.070422535211268</v>
      </c>
      <c r="S18" s="293">
        <v>12420</v>
      </c>
    </row>
    <row r="19" spans="1:19" ht="12.75" customHeight="1">
      <c r="A19" s="261">
        <v>6</v>
      </c>
      <c r="B19" s="261" t="s">
        <v>461</v>
      </c>
      <c r="C19" s="293">
        <f t="shared" si="0"/>
        <v>1077</v>
      </c>
      <c r="D19" s="293">
        <v>86</v>
      </c>
      <c r="E19" s="293">
        <v>138</v>
      </c>
      <c r="F19" s="293">
        <f>138-10</f>
        <v>128</v>
      </c>
      <c r="G19" s="293">
        <f>465-63-20-20-20</f>
        <v>342</v>
      </c>
      <c r="H19" s="293">
        <f>453-50-20</f>
        <v>383</v>
      </c>
      <c r="I19" s="293">
        <f t="shared" si="1"/>
        <v>540</v>
      </c>
      <c r="J19" s="293">
        <f t="shared" si="2"/>
        <v>381</v>
      </c>
      <c r="K19" s="293">
        <v>105</v>
      </c>
      <c r="L19" s="293">
        <v>54</v>
      </c>
      <c r="M19" s="293">
        <v>38</v>
      </c>
      <c r="N19" s="293">
        <v>184</v>
      </c>
      <c r="O19" s="298">
        <f t="shared" si="3"/>
        <v>70.55555555555556</v>
      </c>
      <c r="P19" s="293">
        <v>69</v>
      </c>
      <c r="Q19" s="293">
        <v>90</v>
      </c>
      <c r="R19" s="298">
        <f t="shared" si="4"/>
        <v>16.666666666666664</v>
      </c>
      <c r="S19" s="293">
        <v>12789</v>
      </c>
    </row>
    <row r="20" spans="1:19" ht="12.75" customHeight="1">
      <c r="A20" s="261">
        <v>7</v>
      </c>
      <c r="B20" s="261" t="s">
        <v>462</v>
      </c>
      <c r="C20" s="293">
        <f t="shared" si="0"/>
        <v>1562</v>
      </c>
      <c r="D20" s="293">
        <v>127</v>
      </c>
      <c r="E20" s="293">
        <v>159</v>
      </c>
      <c r="F20" s="293">
        <f>748-15-100-100-100-50-20</f>
        <v>363</v>
      </c>
      <c r="G20" s="293">
        <f>515-20-20-20-20</f>
        <v>435</v>
      </c>
      <c r="H20" s="293">
        <f>578-50-50</f>
        <v>478</v>
      </c>
      <c r="I20" s="293">
        <f t="shared" si="1"/>
        <v>1248</v>
      </c>
      <c r="J20" s="293">
        <f t="shared" si="2"/>
        <v>737</v>
      </c>
      <c r="K20" s="293">
        <v>187</v>
      </c>
      <c r="L20" s="293">
        <v>132</v>
      </c>
      <c r="M20" s="293">
        <v>286</v>
      </c>
      <c r="N20" s="293">
        <v>132</v>
      </c>
      <c r="O20" s="298">
        <f t="shared" si="3"/>
        <v>59.05448717948718</v>
      </c>
      <c r="P20" s="293">
        <v>78</v>
      </c>
      <c r="Q20" s="293">
        <v>433</v>
      </c>
      <c r="R20" s="298">
        <f t="shared" si="4"/>
        <v>34.69551282051282</v>
      </c>
      <c r="S20" s="293">
        <v>12804</v>
      </c>
    </row>
    <row r="21" spans="1:19" ht="12.75" customHeight="1">
      <c r="A21" s="261">
        <v>8</v>
      </c>
      <c r="B21" s="261" t="s">
        <v>463</v>
      </c>
      <c r="C21" s="293">
        <f t="shared" si="0"/>
        <v>707</v>
      </c>
      <c r="D21" s="293">
        <v>47</v>
      </c>
      <c r="E21" s="293">
        <v>72</v>
      </c>
      <c r="F21" s="293">
        <f>134-12</f>
        <v>122</v>
      </c>
      <c r="G21" s="293">
        <f>234-12-20</f>
        <v>202</v>
      </c>
      <c r="H21" s="293">
        <f>264</f>
        <v>264</v>
      </c>
      <c r="I21" s="293">
        <f t="shared" si="1"/>
        <v>344</v>
      </c>
      <c r="J21" s="293">
        <f t="shared" si="2"/>
        <v>149</v>
      </c>
      <c r="K21" s="293">
        <v>49</v>
      </c>
      <c r="L21" s="293">
        <v>47</v>
      </c>
      <c r="M21" s="293">
        <v>29</v>
      </c>
      <c r="N21" s="293">
        <v>24</v>
      </c>
      <c r="O21" s="298">
        <f t="shared" si="3"/>
        <v>43.31395348837209</v>
      </c>
      <c r="P21" s="293">
        <v>67</v>
      </c>
      <c r="Q21" s="293">
        <v>128</v>
      </c>
      <c r="R21" s="298">
        <f t="shared" si="4"/>
        <v>37.2093023255814</v>
      </c>
      <c r="S21" s="293">
        <v>12548</v>
      </c>
    </row>
    <row r="22" spans="1:21" ht="12.75" customHeight="1">
      <c r="A22" s="261">
        <v>9</v>
      </c>
      <c r="B22" s="261" t="s">
        <v>464</v>
      </c>
      <c r="C22" s="293">
        <f t="shared" si="0"/>
        <v>608</v>
      </c>
      <c r="D22" s="293">
        <v>29</v>
      </c>
      <c r="E22" s="293">
        <v>77</v>
      </c>
      <c r="F22" s="293">
        <v>99</v>
      </c>
      <c r="G22" s="293">
        <f>283-20</f>
        <v>263</v>
      </c>
      <c r="H22" s="293">
        <v>140</v>
      </c>
      <c r="I22" s="293">
        <f t="shared" si="1"/>
        <v>382</v>
      </c>
      <c r="J22" s="293">
        <f t="shared" si="2"/>
        <v>206</v>
      </c>
      <c r="K22" s="293">
        <v>35</v>
      </c>
      <c r="L22" s="293">
        <v>37</v>
      </c>
      <c r="M22" s="293">
        <v>39</v>
      </c>
      <c r="N22" s="293">
        <v>95</v>
      </c>
      <c r="O22" s="298">
        <f t="shared" si="3"/>
        <v>53.92670157068062</v>
      </c>
      <c r="P22" s="293">
        <v>52</v>
      </c>
      <c r="Q22" s="293">
        <v>124</v>
      </c>
      <c r="R22" s="298">
        <f t="shared" si="4"/>
        <v>32.460732984293195</v>
      </c>
      <c r="S22" s="293">
        <v>12234</v>
      </c>
      <c r="U22" s="238">
        <f>12566*9902</f>
        <v>124428532</v>
      </c>
    </row>
    <row r="23" spans="1:19" ht="12.75" customHeight="1">
      <c r="A23" s="261">
        <v>10</v>
      </c>
      <c r="B23" s="261" t="s">
        <v>465</v>
      </c>
      <c r="C23" s="293">
        <f t="shared" si="0"/>
        <v>637</v>
      </c>
      <c r="D23" s="293">
        <v>53</v>
      </c>
      <c r="E23" s="293">
        <v>59</v>
      </c>
      <c r="F23" s="293">
        <v>139</v>
      </c>
      <c r="G23" s="293">
        <f>309-35-20-20-14</f>
        <v>220</v>
      </c>
      <c r="H23" s="293">
        <v>166</v>
      </c>
      <c r="I23" s="293">
        <f t="shared" si="1"/>
        <v>373</v>
      </c>
      <c r="J23" s="293">
        <f t="shared" si="2"/>
        <v>222</v>
      </c>
      <c r="K23" s="293">
        <v>67</v>
      </c>
      <c r="L23" s="293">
        <v>38</v>
      </c>
      <c r="M23" s="293">
        <v>57</v>
      </c>
      <c r="N23" s="293">
        <v>60</v>
      </c>
      <c r="O23" s="298">
        <f t="shared" si="3"/>
        <v>59.51742627345844</v>
      </c>
      <c r="P23" s="293">
        <v>63</v>
      </c>
      <c r="Q23" s="293">
        <v>88</v>
      </c>
      <c r="R23" s="298">
        <f t="shared" si="4"/>
        <v>23.59249329758713</v>
      </c>
      <c r="S23" s="293">
        <v>12569</v>
      </c>
    </row>
    <row r="24" spans="1:21" ht="12.75" customHeight="1">
      <c r="A24" s="261">
        <v>11</v>
      </c>
      <c r="B24" s="261" t="s">
        <v>466</v>
      </c>
      <c r="C24" s="293">
        <f t="shared" si="0"/>
        <v>779</v>
      </c>
      <c r="D24" s="293">
        <v>44</v>
      </c>
      <c r="E24" s="293">
        <v>79</v>
      </c>
      <c r="F24" s="293">
        <v>116</v>
      </c>
      <c r="G24" s="293">
        <f>425-50-12-12-20-20</f>
        <v>311</v>
      </c>
      <c r="H24" s="293">
        <f>229</f>
        <v>229</v>
      </c>
      <c r="I24" s="293">
        <f t="shared" si="1"/>
        <v>467</v>
      </c>
      <c r="J24" s="293">
        <f t="shared" si="2"/>
        <v>285</v>
      </c>
      <c r="K24" s="293">
        <v>87</v>
      </c>
      <c r="L24" s="293">
        <v>53</v>
      </c>
      <c r="M24" s="293">
        <v>68</v>
      </c>
      <c r="N24" s="293">
        <v>77</v>
      </c>
      <c r="O24" s="298">
        <f t="shared" si="3"/>
        <v>61.02783725910065</v>
      </c>
      <c r="P24" s="293">
        <v>78</v>
      </c>
      <c r="Q24" s="293">
        <v>104</v>
      </c>
      <c r="R24" s="298">
        <v>22</v>
      </c>
      <c r="S24" s="293">
        <v>12800</v>
      </c>
      <c r="U24" s="238">
        <f>U22/'т1'!D26</f>
        <v>40346.476005188066</v>
      </c>
    </row>
    <row r="25" spans="1:19" ht="12.75" customHeight="1">
      <c r="A25" s="261">
        <v>12</v>
      </c>
      <c r="B25" s="261" t="s">
        <v>467</v>
      </c>
      <c r="C25" s="293">
        <f t="shared" si="0"/>
        <v>1005</v>
      </c>
      <c r="D25" s="293">
        <v>50</v>
      </c>
      <c r="E25" s="293">
        <v>89</v>
      </c>
      <c r="F25" s="293">
        <f>239-50-20</f>
        <v>169</v>
      </c>
      <c r="G25" s="293">
        <f>529-121-20-20</f>
        <v>368</v>
      </c>
      <c r="H25" s="293">
        <f>349-20</f>
        <v>329</v>
      </c>
      <c r="I25" s="293">
        <f t="shared" si="1"/>
        <v>636</v>
      </c>
      <c r="J25" s="293">
        <f t="shared" si="2"/>
        <v>286</v>
      </c>
      <c r="K25" s="293">
        <v>96</v>
      </c>
      <c r="L25" s="293">
        <v>51</v>
      </c>
      <c r="M25" s="293">
        <v>58</v>
      </c>
      <c r="N25" s="293">
        <v>81</v>
      </c>
      <c r="O25" s="298">
        <f t="shared" si="3"/>
        <v>44.9685534591195</v>
      </c>
      <c r="P25" s="293">
        <v>96</v>
      </c>
      <c r="Q25" s="293">
        <v>254</v>
      </c>
      <c r="R25" s="298">
        <f t="shared" si="4"/>
        <v>39.937106918238996</v>
      </c>
      <c r="S25" s="293">
        <v>12781</v>
      </c>
    </row>
    <row r="26" spans="1:19" ht="12.75" customHeight="1">
      <c r="A26" s="261">
        <v>13</v>
      </c>
      <c r="B26" s="261" t="s">
        <v>468</v>
      </c>
      <c r="C26" s="293">
        <f t="shared" si="0"/>
        <v>699</v>
      </c>
      <c r="D26" s="293">
        <v>27</v>
      </c>
      <c r="E26" s="293">
        <v>77</v>
      </c>
      <c r="F26" s="293">
        <f>183-20</f>
        <v>163</v>
      </c>
      <c r="G26" s="293">
        <f>317-58-20-20</f>
        <v>219</v>
      </c>
      <c r="H26" s="293">
        <v>213</v>
      </c>
      <c r="I26" s="293">
        <f t="shared" si="1"/>
        <v>442</v>
      </c>
      <c r="J26" s="293">
        <f t="shared" si="2"/>
        <v>331</v>
      </c>
      <c r="K26" s="293">
        <v>132</v>
      </c>
      <c r="L26" s="293">
        <v>46</v>
      </c>
      <c r="M26" s="293">
        <v>63</v>
      </c>
      <c r="N26" s="293">
        <v>90</v>
      </c>
      <c r="O26" s="298">
        <f t="shared" si="3"/>
        <v>74.8868778280543</v>
      </c>
      <c r="P26" s="293">
        <v>45</v>
      </c>
      <c r="Q26" s="293">
        <v>66</v>
      </c>
      <c r="R26" s="298">
        <f t="shared" si="4"/>
        <v>14.93212669683258</v>
      </c>
      <c r="S26" s="293">
        <v>12350</v>
      </c>
    </row>
    <row r="27" spans="1:19" s="221" customFormat="1" ht="12.75">
      <c r="A27" s="297"/>
      <c r="B27" s="297" t="s">
        <v>108</v>
      </c>
      <c r="C27" s="299">
        <f>SUM(C14:C26)</f>
        <v>9902</v>
      </c>
      <c r="D27" s="299">
        <f aca="true" t="shared" si="5" ref="D27:Q27">SUM(D14:D26)</f>
        <v>632</v>
      </c>
      <c r="E27" s="299">
        <f t="shared" si="5"/>
        <v>1062</v>
      </c>
      <c r="F27" s="299">
        <f t="shared" si="5"/>
        <v>1784</v>
      </c>
      <c r="G27" s="299">
        <f t="shared" si="5"/>
        <v>3360</v>
      </c>
      <c r="H27" s="299">
        <f t="shared" si="5"/>
        <v>3064</v>
      </c>
      <c r="I27" s="299">
        <f t="shared" si="5"/>
        <v>6122</v>
      </c>
      <c r="J27" s="299">
        <f t="shared" si="5"/>
        <v>3478</v>
      </c>
      <c r="K27" s="299">
        <f t="shared" si="5"/>
        <v>968</v>
      </c>
      <c r="L27" s="299">
        <f t="shared" si="5"/>
        <v>647</v>
      </c>
      <c r="M27" s="299">
        <f t="shared" si="5"/>
        <v>724</v>
      </c>
      <c r="N27" s="299">
        <f t="shared" si="5"/>
        <v>1139</v>
      </c>
      <c r="O27" s="300">
        <f t="shared" si="3"/>
        <v>56.81149950996406</v>
      </c>
      <c r="P27" s="299">
        <f t="shared" si="5"/>
        <v>929</v>
      </c>
      <c r="Q27" s="299">
        <f t="shared" si="5"/>
        <v>1715</v>
      </c>
      <c r="R27" s="300">
        <f t="shared" si="4"/>
        <v>28.01372100620712</v>
      </c>
      <c r="S27" s="299">
        <v>12565.84615</v>
      </c>
    </row>
  </sheetData>
  <sheetProtection/>
  <mergeCells count="21">
    <mergeCell ref="J5:O10"/>
    <mergeCell ref="D5:H10"/>
    <mergeCell ref="G11:G12"/>
    <mergeCell ref="D11:D12"/>
    <mergeCell ref="S5:S12"/>
    <mergeCell ref="F11:F12"/>
    <mergeCell ref="E11:E12"/>
    <mergeCell ref="K11:N11"/>
    <mergeCell ref="I5:I12"/>
    <mergeCell ref="H11:H12"/>
    <mergeCell ref="J11:J12"/>
    <mergeCell ref="R5:R12"/>
    <mergeCell ref="P5:P12"/>
    <mergeCell ref="Q5:Q12"/>
    <mergeCell ref="O11:O12"/>
    <mergeCell ref="A2:S2"/>
    <mergeCell ref="A4:A12"/>
    <mergeCell ref="B4:B12"/>
    <mergeCell ref="C4:H4"/>
    <mergeCell ref="I4:S4"/>
    <mergeCell ref="C5:C12"/>
  </mergeCells>
  <printOptions/>
  <pageMargins left="0.5905511811023623" right="0" top="0.984251968503937" bottom="0" header="0.5118110236220472" footer="0.1968503937007874"/>
  <pageSetup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0.625" style="0" customWidth="1"/>
    <col min="2" max="2" width="14.125" style="0" customWidth="1"/>
    <col min="3" max="3" width="14.25390625" style="0" customWidth="1"/>
    <col min="4" max="4" width="10.875" style="0" bestFit="1" customWidth="1"/>
  </cols>
  <sheetData>
    <row r="2" spans="1:3" ht="12.75">
      <c r="A2" s="431" t="s">
        <v>187</v>
      </c>
      <c r="B2" s="431"/>
      <c r="C2" s="431"/>
    </row>
    <row r="3" spans="1:3" ht="12.75">
      <c r="A3" s="432" t="s">
        <v>286</v>
      </c>
      <c r="B3" s="432"/>
      <c r="C3" s="432"/>
    </row>
    <row r="4" spans="1:3" ht="12.75">
      <c r="A4" s="433" t="s">
        <v>188</v>
      </c>
      <c r="B4" s="433" t="s">
        <v>48</v>
      </c>
      <c r="C4" s="433" t="s">
        <v>189</v>
      </c>
    </row>
    <row r="5" spans="1:3" ht="12.75">
      <c r="A5" s="434"/>
      <c r="B5" s="434"/>
      <c r="C5" s="434"/>
    </row>
    <row r="6" spans="1:3" ht="12.75">
      <c r="A6" s="65" t="s">
        <v>190</v>
      </c>
      <c r="B6" s="65" t="s">
        <v>191</v>
      </c>
      <c r="C6" s="71"/>
    </row>
    <row r="7" spans="1:3" ht="12.75">
      <c r="A7" s="67" t="s">
        <v>192</v>
      </c>
      <c r="B7" s="67" t="s">
        <v>191</v>
      </c>
      <c r="C7" s="106"/>
    </row>
    <row r="8" spans="1:3" ht="12.75">
      <c r="A8" s="65" t="s">
        <v>193</v>
      </c>
      <c r="B8" s="65" t="s">
        <v>191</v>
      </c>
      <c r="C8" s="108" t="e">
        <f>C9+#REF!</f>
        <v>#REF!</v>
      </c>
    </row>
    <row r="9" spans="1:3" ht="12.75">
      <c r="A9" s="65" t="s">
        <v>194</v>
      </c>
      <c r="B9" s="65" t="s">
        <v>191</v>
      </c>
      <c r="C9" s="108">
        <v>232.3</v>
      </c>
    </row>
    <row r="10" spans="1:3" ht="12.75">
      <c r="A10" s="65" t="s">
        <v>195</v>
      </c>
      <c r="B10" s="65" t="s">
        <v>191</v>
      </c>
      <c r="C10" s="71"/>
    </row>
    <row r="11" spans="1:3" ht="12.75">
      <c r="A11" s="65" t="s">
        <v>196</v>
      </c>
      <c r="B11" s="65" t="s">
        <v>191</v>
      </c>
      <c r="C11" s="71"/>
    </row>
    <row r="12" spans="1:3" ht="12.75">
      <c r="A12" s="65" t="s">
        <v>197</v>
      </c>
      <c r="B12" s="65" t="s">
        <v>191</v>
      </c>
      <c r="C12" s="71"/>
    </row>
    <row r="13" spans="1:3" ht="12.75">
      <c r="A13" s="65" t="s">
        <v>198</v>
      </c>
      <c r="B13" s="65" t="s">
        <v>191</v>
      </c>
      <c r="C13" s="71"/>
    </row>
    <row r="14" spans="1:3" ht="12.75">
      <c r="A14" s="67" t="s">
        <v>199</v>
      </c>
      <c r="B14" s="67" t="s">
        <v>191</v>
      </c>
      <c r="C14" s="112" t="e">
        <f>C17+C23+C24+C25+C26+C27+C38+C39+C40+C48+C45</f>
        <v>#REF!</v>
      </c>
    </row>
    <row r="15" spans="1:3" ht="12.75">
      <c r="A15" s="65" t="s">
        <v>200</v>
      </c>
      <c r="B15" s="65" t="s">
        <v>191</v>
      </c>
      <c r="C15" s="71"/>
    </row>
    <row r="16" spans="1:3" ht="12.75">
      <c r="A16" s="65" t="s">
        <v>201</v>
      </c>
      <c r="B16" s="65" t="s">
        <v>191</v>
      </c>
      <c r="C16" s="71"/>
    </row>
    <row r="17" spans="1:3" ht="12.75">
      <c r="A17" s="68" t="s">
        <v>202</v>
      </c>
      <c r="B17" s="65" t="s">
        <v>191</v>
      </c>
      <c r="C17" s="110" t="e">
        <f>SUM(C18:C22)</f>
        <v>#REF!</v>
      </c>
    </row>
    <row r="18" spans="1:3" ht="12.75">
      <c r="A18" s="65" t="s">
        <v>203</v>
      </c>
      <c r="B18" s="65" t="s">
        <v>191</v>
      </c>
      <c r="C18" s="111" t="e">
        <f>#REF!-#REF!</f>
        <v>#REF!</v>
      </c>
    </row>
    <row r="19" spans="1:3" ht="12.75">
      <c r="A19" s="109" t="s">
        <v>169</v>
      </c>
      <c r="B19" s="65" t="s">
        <v>191</v>
      </c>
      <c r="C19" s="111" t="e">
        <f>#REF!</f>
        <v>#REF!</v>
      </c>
    </row>
    <row r="20" spans="1:3" ht="12.75">
      <c r="A20" s="65" t="s">
        <v>204</v>
      </c>
      <c r="B20" s="65" t="s">
        <v>191</v>
      </c>
      <c r="C20" s="111" t="e">
        <f>#REF!+#REF!</f>
        <v>#REF!</v>
      </c>
    </row>
    <row r="21" spans="1:3" ht="12.75">
      <c r="A21" s="65" t="s">
        <v>205</v>
      </c>
      <c r="B21" s="65" t="s">
        <v>191</v>
      </c>
      <c r="C21" s="111" t="e">
        <f>'т1'!#REF!</f>
        <v>#REF!</v>
      </c>
    </row>
    <row r="22" spans="1:3" ht="12.75">
      <c r="A22" s="109" t="s">
        <v>305</v>
      </c>
      <c r="B22" s="65" t="s">
        <v>191</v>
      </c>
      <c r="C22" s="111" t="e">
        <f>'т1'!#REF!</f>
        <v>#REF!</v>
      </c>
    </row>
    <row r="23" spans="1:3" ht="12.75">
      <c r="A23" s="68" t="s">
        <v>206</v>
      </c>
      <c r="B23" s="68" t="s">
        <v>191</v>
      </c>
      <c r="C23" s="110" t="e">
        <f>#REF!</f>
        <v>#REF!</v>
      </c>
    </row>
    <row r="24" spans="1:3" ht="12.75">
      <c r="A24" s="68" t="s">
        <v>207</v>
      </c>
      <c r="B24" s="68" t="s">
        <v>191</v>
      </c>
      <c r="C24" s="110" t="e">
        <f>'т1'!#REF!</f>
        <v>#REF!</v>
      </c>
    </row>
    <row r="25" spans="1:3" ht="12.75">
      <c r="A25" s="68" t="s">
        <v>208</v>
      </c>
      <c r="B25" s="68" t="s">
        <v>191</v>
      </c>
      <c r="C25" s="110" t="e">
        <f>'т1'!#REF!</f>
        <v>#REF!</v>
      </c>
    </row>
    <row r="26" spans="1:3" ht="12.75">
      <c r="A26" s="68" t="s">
        <v>209</v>
      </c>
      <c r="B26" s="68" t="s">
        <v>191</v>
      </c>
      <c r="C26" s="110" t="e">
        <f>'т1'!#REF!</f>
        <v>#REF!</v>
      </c>
    </row>
    <row r="27" spans="1:3" ht="12.75">
      <c r="A27" s="68" t="s">
        <v>210</v>
      </c>
      <c r="B27" s="68" t="s">
        <v>191</v>
      </c>
      <c r="C27" s="110" t="e">
        <f>SUM(C28:C37)</f>
        <v>#REF!</v>
      </c>
    </row>
    <row r="28" spans="1:3" ht="12.75">
      <c r="A28" s="65" t="s">
        <v>211</v>
      </c>
      <c r="B28" s="65" t="s">
        <v>191</v>
      </c>
      <c r="C28" s="111" t="e">
        <f>'т1'!#REF!</f>
        <v>#REF!</v>
      </c>
    </row>
    <row r="29" spans="1:3" ht="12.75">
      <c r="A29" s="65" t="s">
        <v>212</v>
      </c>
      <c r="B29" s="65" t="s">
        <v>191</v>
      </c>
      <c r="C29" s="111" t="e">
        <f>'т1'!#REF!</f>
        <v>#REF!</v>
      </c>
    </row>
    <row r="30" spans="1:3" ht="12.75">
      <c r="A30" s="65" t="s">
        <v>213</v>
      </c>
      <c r="B30" s="65" t="s">
        <v>191</v>
      </c>
      <c r="C30" s="111" t="e">
        <f>'т1'!#REF!</f>
        <v>#REF!</v>
      </c>
    </row>
    <row r="31" spans="1:3" ht="12.75">
      <c r="A31" s="10" t="s">
        <v>222</v>
      </c>
      <c r="B31" s="65" t="s">
        <v>191</v>
      </c>
      <c r="C31" s="111" t="e">
        <f>'т1'!#REF!</f>
        <v>#REF!</v>
      </c>
    </row>
    <row r="32" spans="1:3" ht="12.75">
      <c r="A32" s="10" t="s">
        <v>168</v>
      </c>
      <c r="B32" s="65" t="s">
        <v>191</v>
      </c>
      <c r="C32" s="111" t="e">
        <f>'т1'!#REF!</f>
        <v>#REF!</v>
      </c>
    </row>
    <row r="33" spans="1:3" ht="12.75">
      <c r="A33" s="10" t="s">
        <v>223</v>
      </c>
      <c r="B33" s="65" t="s">
        <v>191</v>
      </c>
      <c r="C33" s="111" t="e">
        <f>'т1'!#REF!</f>
        <v>#REF!</v>
      </c>
    </row>
    <row r="34" spans="1:3" ht="12.75">
      <c r="A34" s="10" t="s">
        <v>31</v>
      </c>
      <c r="B34" s="65" t="s">
        <v>191</v>
      </c>
      <c r="C34" s="111" t="e">
        <f>'т1'!#REF!+'т1'!#REF!+'т1'!#REF!+'т1'!#REF!+'т1'!#REF!+'т1'!#REF!+'т1'!#REF!</f>
        <v>#REF!</v>
      </c>
    </row>
    <row r="35" spans="1:3" ht="12.75">
      <c r="A35" s="10" t="s">
        <v>287</v>
      </c>
      <c r="B35" s="65" t="s">
        <v>191</v>
      </c>
      <c r="C35" s="111" t="e">
        <f>'т1'!#REF!</f>
        <v>#REF!</v>
      </c>
    </row>
    <row r="36" spans="1:3" ht="12.75">
      <c r="A36" s="10" t="s">
        <v>338</v>
      </c>
      <c r="B36" s="65" t="s">
        <v>191</v>
      </c>
      <c r="C36" s="111" t="e">
        <f>'т1'!#REF!</f>
        <v>#REF!</v>
      </c>
    </row>
    <row r="37" spans="1:3" ht="12.75">
      <c r="A37" s="10" t="s">
        <v>342</v>
      </c>
      <c r="B37" s="65" t="s">
        <v>191</v>
      </c>
      <c r="C37" s="111">
        <f>(28000+15400)/1000</f>
        <v>43.4</v>
      </c>
    </row>
    <row r="38" spans="1:3" ht="12.75">
      <c r="A38" s="68" t="s">
        <v>0</v>
      </c>
      <c r="B38" s="68" t="s">
        <v>191</v>
      </c>
      <c r="C38" s="110" t="e">
        <f>'т1'!#REF!</f>
        <v>#REF!</v>
      </c>
    </row>
    <row r="39" spans="1:3" ht="12.75">
      <c r="A39" s="68" t="s">
        <v>214</v>
      </c>
      <c r="B39" s="68" t="s">
        <v>191</v>
      </c>
      <c r="C39" s="110" t="e">
        <f>'т1'!#REF!</f>
        <v>#REF!</v>
      </c>
    </row>
    <row r="40" spans="1:3" ht="12.75">
      <c r="A40" s="68" t="s">
        <v>215</v>
      </c>
      <c r="B40" s="68" t="s">
        <v>191</v>
      </c>
      <c r="C40" s="110" t="e">
        <f>SUM(C41:C47)</f>
        <v>#REF!</v>
      </c>
    </row>
    <row r="41" spans="1:3" ht="12.75">
      <c r="A41" s="65" t="s">
        <v>216</v>
      </c>
      <c r="B41" s="65" t="s">
        <v>191</v>
      </c>
      <c r="C41" s="111" t="e">
        <f>'т1'!#REF!</f>
        <v>#REF!</v>
      </c>
    </row>
    <row r="42" spans="1:3" ht="12.75">
      <c r="A42" s="65" t="s">
        <v>217</v>
      </c>
      <c r="B42" s="65" t="s">
        <v>191</v>
      </c>
      <c r="C42" s="111" t="e">
        <f>'т1'!#REF!</f>
        <v>#REF!</v>
      </c>
    </row>
    <row r="43" spans="1:3" ht="12.75">
      <c r="A43" s="65" t="s">
        <v>218</v>
      </c>
      <c r="B43" s="65" t="s">
        <v>191</v>
      </c>
      <c r="C43" s="111" t="e">
        <f>'т1'!#REF!</f>
        <v>#REF!</v>
      </c>
    </row>
    <row r="44" spans="1:3" ht="12.75">
      <c r="A44" s="109" t="s">
        <v>44</v>
      </c>
      <c r="B44" s="65" t="s">
        <v>191</v>
      </c>
      <c r="C44" s="111" t="e">
        <f>'т1'!#REF!</f>
        <v>#REF!</v>
      </c>
    </row>
    <row r="45" spans="1:3" ht="12.75">
      <c r="A45" s="129" t="s">
        <v>312</v>
      </c>
      <c r="B45" s="65" t="s">
        <v>191</v>
      </c>
      <c r="C45" s="138" t="e">
        <f>'т1'!#REF!</f>
        <v>#REF!</v>
      </c>
    </row>
    <row r="46" spans="1:3" ht="12.75">
      <c r="A46" s="109" t="s">
        <v>337</v>
      </c>
      <c r="B46" s="65" t="s">
        <v>191</v>
      </c>
      <c r="C46" s="138" t="e">
        <f>'т1'!#REF!</f>
        <v>#REF!</v>
      </c>
    </row>
    <row r="47" spans="1:3" ht="12.75">
      <c r="A47" s="109" t="s">
        <v>343</v>
      </c>
      <c r="B47" s="65" t="s">
        <v>191</v>
      </c>
      <c r="C47" s="138">
        <v>9.936</v>
      </c>
    </row>
    <row r="48" spans="1:3" ht="12.75">
      <c r="A48" s="67" t="s">
        <v>219</v>
      </c>
      <c r="B48" s="67" t="s">
        <v>191</v>
      </c>
      <c r="C48" s="107" t="e">
        <f>SUM(C49:C50)</f>
        <v>#REF!</v>
      </c>
    </row>
    <row r="49" spans="1:3" ht="24">
      <c r="A49" s="109" t="s">
        <v>331</v>
      </c>
      <c r="B49" s="65" t="s">
        <v>191</v>
      </c>
      <c r="C49" s="71" t="e">
        <f>'т1'!#REF!</f>
        <v>#REF!</v>
      </c>
    </row>
    <row r="50" spans="1:3" ht="24">
      <c r="A50" s="109" t="s">
        <v>332</v>
      </c>
      <c r="B50" s="65" t="s">
        <v>191</v>
      </c>
      <c r="C50" s="71" t="e">
        <f>'т1'!#REF!</f>
        <v>#REF!</v>
      </c>
    </row>
    <row r="51" spans="1:3" ht="12.75">
      <c r="A51" s="65"/>
      <c r="B51" s="65" t="s">
        <v>191</v>
      </c>
      <c r="C51" s="71"/>
    </row>
    <row r="52" spans="1:3" ht="12.75">
      <c r="A52" s="65"/>
      <c r="B52" s="65" t="s">
        <v>191</v>
      </c>
      <c r="C52" s="71"/>
    </row>
    <row r="53" spans="1:3" ht="12.75">
      <c r="A53" s="67" t="s">
        <v>220</v>
      </c>
      <c r="B53" s="67" t="s">
        <v>191</v>
      </c>
      <c r="C53" s="107"/>
    </row>
    <row r="54" spans="1:3" ht="12.75">
      <c r="A54" s="67" t="s">
        <v>221</v>
      </c>
      <c r="B54" s="67" t="s">
        <v>191</v>
      </c>
      <c r="C54" s="107"/>
    </row>
  </sheetData>
  <sheetProtection/>
  <mergeCells count="5">
    <mergeCell ref="A2:C2"/>
    <mergeCell ref="A3:C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75" zoomScaleNormal="75" zoomScalePageLayoutView="0" workbookViewId="0" topLeftCell="A1">
      <selection activeCell="D5" sqref="D5:D6"/>
    </sheetView>
  </sheetViews>
  <sheetFormatPr defaultColWidth="9.00390625" defaultRowHeight="12.75"/>
  <cols>
    <col min="1" max="1" width="9.125" style="267" customWidth="1"/>
    <col min="2" max="2" width="28.75390625" style="267" customWidth="1"/>
    <col min="3" max="3" width="18.375" style="267" customWidth="1"/>
    <col min="4" max="4" width="21.75390625" style="267" customWidth="1"/>
    <col min="5" max="6" width="9.125" style="267" customWidth="1"/>
    <col min="7" max="7" width="28.00390625" style="267" customWidth="1"/>
    <col min="8" max="8" width="13.375" style="267" customWidth="1"/>
    <col min="9" max="9" width="26.25390625" style="267" customWidth="1"/>
    <col min="10" max="10" width="15.875" style="267" customWidth="1"/>
    <col min="11" max="16384" width="9.125" style="267" customWidth="1"/>
  </cols>
  <sheetData>
    <row r="1" ht="15.75">
      <c r="J1" s="238" t="s">
        <v>503</v>
      </c>
    </row>
    <row r="2" spans="1:10" ht="18" customHeight="1">
      <c r="A2" s="438" t="s">
        <v>504</v>
      </c>
      <c r="B2" s="438"/>
      <c r="C2" s="438"/>
      <c r="D2" s="438"/>
      <c r="E2" s="438"/>
      <c r="F2" s="438"/>
      <c r="G2" s="438"/>
      <c r="H2" s="438"/>
      <c r="I2" s="438"/>
      <c r="J2" s="438"/>
    </row>
    <row r="4" spans="1:11" ht="28.5" customHeight="1">
      <c r="A4" s="429" t="s">
        <v>107</v>
      </c>
      <c r="B4" s="429" t="s">
        <v>500</v>
      </c>
      <c r="C4" s="422" t="s">
        <v>473</v>
      </c>
      <c r="D4" s="422"/>
      <c r="E4" s="422"/>
      <c r="F4" s="422"/>
      <c r="G4" s="422" t="s">
        <v>474</v>
      </c>
      <c r="H4" s="422"/>
      <c r="I4" s="422"/>
      <c r="J4" s="422"/>
      <c r="K4" s="266"/>
    </row>
    <row r="5" spans="1:11" ht="55.5" customHeight="1">
      <c r="A5" s="435"/>
      <c r="B5" s="435"/>
      <c r="C5" s="429" t="s">
        <v>475</v>
      </c>
      <c r="D5" s="429" t="s">
        <v>476</v>
      </c>
      <c r="E5" s="436" t="s">
        <v>477</v>
      </c>
      <c r="F5" s="437"/>
      <c r="G5" s="422" t="s">
        <v>478</v>
      </c>
      <c r="H5" s="429" t="s">
        <v>501</v>
      </c>
      <c r="I5" s="439" t="s">
        <v>479</v>
      </c>
      <c r="J5" s="440"/>
      <c r="K5" s="266"/>
    </row>
    <row r="6" spans="1:10" ht="63.75" customHeight="1">
      <c r="A6" s="430"/>
      <c r="B6" s="430"/>
      <c r="C6" s="430"/>
      <c r="D6" s="430"/>
      <c r="E6" s="265" t="s">
        <v>480</v>
      </c>
      <c r="F6" s="265" t="s">
        <v>481</v>
      </c>
      <c r="G6" s="422"/>
      <c r="H6" s="430"/>
      <c r="I6" s="258" t="s">
        <v>482</v>
      </c>
      <c r="J6" s="258" t="s">
        <v>499</v>
      </c>
    </row>
    <row r="7" spans="1:10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>
        <v>6</v>
      </c>
      <c r="G7" s="258">
        <v>7</v>
      </c>
      <c r="H7" s="258">
        <v>8</v>
      </c>
      <c r="I7" s="258">
        <v>9</v>
      </c>
      <c r="J7" s="268"/>
    </row>
    <row r="8" spans="1:10" ht="142.5" customHeight="1">
      <c r="A8" s="258">
        <v>1</v>
      </c>
      <c r="B8" s="261" t="s">
        <v>456</v>
      </c>
      <c r="C8" s="258" t="s">
        <v>483</v>
      </c>
      <c r="D8" s="258" t="s">
        <v>484</v>
      </c>
      <c r="E8" s="258" t="s">
        <v>485</v>
      </c>
      <c r="F8" s="258" t="s">
        <v>486</v>
      </c>
      <c r="G8" s="258" t="s">
        <v>502</v>
      </c>
      <c r="H8" s="258">
        <v>1860</v>
      </c>
      <c r="I8" s="258" t="s">
        <v>487</v>
      </c>
      <c r="J8" s="268"/>
    </row>
    <row r="9" spans="1:10" ht="63.75" customHeight="1">
      <c r="A9" s="258">
        <v>2</v>
      </c>
      <c r="B9" s="261" t="s">
        <v>457</v>
      </c>
      <c r="C9" s="258" t="s">
        <v>483</v>
      </c>
      <c r="D9" s="258" t="s">
        <v>484</v>
      </c>
      <c r="E9" s="258"/>
      <c r="F9" s="258"/>
      <c r="G9" s="258"/>
      <c r="H9" s="258"/>
      <c r="I9" s="258"/>
      <c r="J9" s="268"/>
    </row>
    <row r="10" spans="1:10" ht="65.25" customHeight="1">
      <c r="A10" s="258">
        <v>3</v>
      </c>
      <c r="B10" s="261" t="s">
        <v>458</v>
      </c>
      <c r="C10" s="258" t="s">
        <v>483</v>
      </c>
      <c r="D10" s="258" t="s">
        <v>484</v>
      </c>
      <c r="E10" s="258"/>
      <c r="F10" s="258"/>
      <c r="G10" s="258"/>
      <c r="H10" s="258"/>
      <c r="I10" s="258"/>
      <c r="J10" s="268"/>
    </row>
    <row r="11" spans="1:10" ht="66.75" customHeight="1">
      <c r="A11" s="258">
        <v>4</v>
      </c>
      <c r="B11" s="261" t="s">
        <v>459</v>
      </c>
      <c r="C11" s="258" t="s">
        <v>483</v>
      </c>
      <c r="D11" s="258" t="s">
        <v>484</v>
      </c>
      <c r="E11" s="258"/>
      <c r="F11" s="258"/>
      <c r="G11" s="258"/>
      <c r="H11" s="258"/>
      <c r="I11" s="258"/>
      <c r="J11" s="268"/>
    </row>
    <row r="12" spans="1:10" ht="66" customHeight="1">
      <c r="A12" s="258">
        <v>5</v>
      </c>
      <c r="B12" s="261" t="s">
        <v>460</v>
      </c>
      <c r="C12" s="258" t="s">
        <v>488</v>
      </c>
      <c r="D12" s="258" t="s">
        <v>489</v>
      </c>
      <c r="E12" s="258" t="s">
        <v>490</v>
      </c>
      <c r="F12" s="258" t="s">
        <v>491</v>
      </c>
      <c r="G12" s="258" t="s">
        <v>492</v>
      </c>
      <c r="H12" s="258">
        <v>185.1</v>
      </c>
      <c r="I12" s="258" t="s">
        <v>487</v>
      </c>
      <c r="J12" s="268"/>
    </row>
    <row r="13" spans="1:10" ht="54.75" customHeight="1">
      <c r="A13" s="258">
        <v>6</v>
      </c>
      <c r="B13" s="261" t="s">
        <v>461</v>
      </c>
      <c r="C13" s="258" t="s">
        <v>493</v>
      </c>
      <c r="D13" s="258" t="s">
        <v>494</v>
      </c>
      <c r="E13" s="258" t="s">
        <v>495</v>
      </c>
      <c r="F13" s="258" t="s">
        <v>496</v>
      </c>
      <c r="G13" s="258" t="s">
        <v>497</v>
      </c>
      <c r="H13" s="258">
        <v>521.5</v>
      </c>
      <c r="I13" s="258" t="s">
        <v>498</v>
      </c>
      <c r="J13" s="268"/>
    </row>
    <row r="14" spans="1:10" ht="40.5" customHeight="1">
      <c r="A14" s="258">
        <v>7</v>
      </c>
      <c r="B14" s="261" t="s">
        <v>462</v>
      </c>
      <c r="C14" s="258" t="s">
        <v>488</v>
      </c>
      <c r="D14" s="258" t="s">
        <v>489</v>
      </c>
      <c r="E14" s="258"/>
      <c r="F14" s="258"/>
      <c r="G14" s="258"/>
      <c r="H14" s="258"/>
      <c r="I14" s="258"/>
      <c r="J14" s="268"/>
    </row>
    <row r="15" spans="1:10" ht="41.25" customHeight="1">
      <c r="A15" s="258">
        <v>8</v>
      </c>
      <c r="B15" s="261" t="s">
        <v>463</v>
      </c>
      <c r="C15" s="258" t="s">
        <v>488</v>
      </c>
      <c r="D15" s="258" t="s">
        <v>489</v>
      </c>
      <c r="E15" s="258"/>
      <c r="F15" s="258"/>
      <c r="G15" s="258"/>
      <c r="H15" s="258"/>
      <c r="I15" s="258"/>
      <c r="J15" s="268"/>
    </row>
    <row r="16" spans="1:10" ht="65.25" customHeight="1">
      <c r="A16" s="258">
        <v>9</v>
      </c>
      <c r="B16" s="261" t="s">
        <v>464</v>
      </c>
      <c r="C16" s="258" t="s">
        <v>483</v>
      </c>
      <c r="D16" s="258" t="s">
        <v>484</v>
      </c>
      <c r="E16" s="258"/>
      <c r="F16" s="258"/>
      <c r="G16" s="258"/>
      <c r="H16" s="258"/>
      <c r="I16" s="258"/>
      <c r="J16" s="268"/>
    </row>
    <row r="17" spans="1:10" ht="66" customHeight="1">
      <c r="A17" s="258">
        <v>10</v>
      </c>
      <c r="B17" s="261" t="s">
        <v>465</v>
      </c>
      <c r="C17" s="258" t="s">
        <v>483</v>
      </c>
      <c r="D17" s="258" t="s">
        <v>484</v>
      </c>
      <c r="E17" s="258"/>
      <c r="F17" s="258"/>
      <c r="G17" s="258"/>
      <c r="H17" s="258"/>
      <c r="I17" s="258"/>
      <c r="J17" s="268"/>
    </row>
    <row r="18" spans="1:10" ht="64.5" customHeight="1">
      <c r="A18" s="258">
        <v>11</v>
      </c>
      <c r="B18" s="261" t="s">
        <v>466</v>
      </c>
      <c r="C18" s="258" t="s">
        <v>483</v>
      </c>
      <c r="D18" s="258" t="s">
        <v>484</v>
      </c>
      <c r="E18" s="258"/>
      <c r="F18" s="258"/>
      <c r="G18" s="258"/>
      <c r="H18" s="258"/>
      <c r="I18" s="258"/>
      <c r="J18" s="268"/>
    </row>
    <row r="19" spans="1:10" ht="67.5" customHeight="1">
      <c r="A19" s="258">
        <v>12</v>
      </c>
      <c r="B19" s="261" t="s">
        <v>467</v>
      </c>
      <c r="C19" s="258" t="s">
        <v>483</v>
      </c>
      <c r="D19" s="258" t="s">
        <v>484</v>
      </c>
      <c r="E19" s="258"/>
      <c r="F19" s="258"/>
      <c r="G19" s="258"/>
      <c r="H19" s="258"/>
      <c r="I19" s="258"/>
      <c r="J19" s="268"/>
    </row>
    <row r="20" spans="1:10" ht="66" customHeight="1">
      <c r="A20" s="258">
        <v>13</v>
      </c>
      <c r="B20" s="261" t="s">
        <v>468</v>
      </c>
      <c r="C20" s="258" t="s">
        <v>483</v>
      </c>
      <c r="D20" s="258" t="s">
        <v>484</v>
      </c>
      <c r="E20" s="258"/>
      <c r="F20" s="258"/>
      <c r="G20" s="258"/>
      <c r="H20" s="258"/>
      <c r="I20" s="258"/>
      <c r="J20" s="268"/>
    </row>
  </sheetData>
  <sheetProtection/>
  <mergeCells count="11">
    <mergeCell ref="G5:G6"/>
    <mergeCell ref="A4:A6"/>
    <mergeCell ref="B4:B6"/>
    <mergeCell ref="E5:F5"/>
    <mergeCell ref="C5:C6"/>
    <mergeCell ref="D5:D6"/>
    <mergeCell ref="A2:J2"/>
    <mergeCell ref="I5:J5"/>
    <mergeCell ref="H5:H6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3">
      <pane xSplit="2" ySplit="7" topLeftCell="C23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L29" sqref="L29"/>
    </sheetView>
  </sheetViews>
  <sheetFormatPr defaultColWidth="9.00390625" defaultRowHeight="12.75"/>
  <cols>
    <col min="1" max="1" width="3.625" style="267" customWidth="1"/>
    <col min="2" max="2" width="31.25390625" style="267" customWidth="1"/>
    <col min="3" max="3" width="7.875" style="267" customWidth="1"/>
    <col min="4" max="4" width="8.00390625" style="267" customWidth="1"/>
    <col min="5" max="5" width="8.125" style="267" customWidth="1"/>
    <col min="6" max="10" width="9.125" style="267" customWidth="1"/>
    <col min="11" max="11" width="9.125" style="316" customWidth="1"/>
    <col min="12" max="13" width="9.125" style="267" customWidth="1"/>
    <col min="14" max="16384" width="9.125" style="267" customWidth="1"/>
  </cols>
  <sheetData>
    <row r="1" spans="12:13" ht="15.75">
      <c r="L1" s="445" t="s">
        <v>526</v>
      </c>
      <c r="M1" s="445"/>
    </row>
    <row r="2" spans="1:13" ht="15.75">
      <c r="A2" s="446" t="s">
        <v>525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4" spans="1:14" ht="26.25" customHeight="1">
      <c r="A4" s="429" t="s">
        <v>107</v>
      </c>
      <c r="B4" s="429" t="s">
        <v>505</v>
      </c>
      <c r="C4" s="448" t="s">
        <v>506</v>
      </c>
      <c r="D4" s="448"/>
      <c r="E4" s="448"/>
      <c r="F4" s="448"/>
      <c r="G4" s="448"/>
      <c r="H4" s="448"/>
      <c r="I4" s="448"/>
      <c r="J4" s="448" t="s">
        <v>520</v>
      </c>
      <c r="K4" s="448"/>
      <c r="L4" s="448"/>
      <c r="M4" s="448"/>
      <c r="N4" s="271"/>
    </row>
    <row r="5" spans="1:14" ht="27" customHeight="1">
      <c r="A5" s="435"/>
      <c r="B5" s="435"/>
      <c r="C5" s="442" t="s">
        <v>521</v>
      </c>
      <c r="D5" s="441" t="s">
        <v>507</v>
      </c>
      <c r="E5" s="422" t="s">
        <v>508</v>
      </c>
      <c r="F5" s="422"/>
      <c r="G5" s="422"/>
      <c r="H5" s="442" t="s">
        <v>522</v>
      </c>
      <c r="I5" s="442" t="s">
        <v>523</v>
      </c>
      <c r="J5" s="422" t="s">
        <v>524</v>
      </c>
      <c r="K5" s="422"/>
      <c r="L5" s="422" t="s">
        <v>510</v>
      </c>
      <c r="M5" s="422"/>
      <c r="N5" s="266"/>
    </row>
    <row r="6" spans="1:14" ht="26.25" customHeight="1">
      <c r="A6" s="435"/>
      <c r="B6" s="435"/>
      <c r="C6" s="443"/>
      <c r="D6" s="441"/>
      <c r="E6" s="426" t="s">
        <v>189</v>
      </c>
      <c r="F6" s="422" t="s">
        <v>511</v>
      </c>
      <c r="G6" s="422"/>
      <c r="H6" s="443"/>
      <c r="I6" s="443"/>
      <c r="J6" s="441" t="s">
        <v>512</v>
      </c>
      <c r="K6" s="447" t="s">
        <v>513</v>
      </c>
      <c r="L6" s="441" t="s">
        <v>514</v>
      </c>
      <c r="M6" s="441" t="s">
        <v>513</v>
      </c>
      <c r="N6" s="266"/>
    </row>
    <row r="7" spans="1:14" ht="41.25" customHeight="1">
      <c r="A7" s="430"/>
      <c r="B7" s="430"/>
      <c r="C7" s="444"/>
      <c r="D7" s="441"/>
      <c r="E7" s="428"/>
      <c r="F7" s="258" t="s">
        <v>515</v>
      </c>
      <c r="G7" s="258" t="s">
        <v>516</v>
      </c>
      <c r="H7" s="444"/>
      <c r="I7" s="444"/>
      <c r="J7" s="441"/>
      <c r="K7" s="447"/>
      <c r="L7" s="441"/>
      <c r="M7" s="441"/>
      <c r="N7" s="266"/>
    </row>
    <row r="8" spans="1:14" ht="12.75">
      <c r="A8" s="258">
        <v>1</v>
      </c>
      <c r="B8" s="258">
        <v>2</v>
      </c>
      <c r="C8" s="258">
        <v>3</v>
      </c>
      <c r="D8" s="258">
        <v>4</v>
      </c>
      <c r="E8" s="258">
        <v>5</v>
      </c>
      <c r="F8" s="258">
        <v>6</v>
      </c>
      <c r="G8" s="258">
        <v>7</v>
      </c>
      <c r="H8" s="258">
        <v>8</v>
      </c>
      <c r="I8" s="258">
        <v>9</v>
      </c>
      <c r="J8" s="258">
        <v>10</v>
      </c>
      <c r="K8" s="317">
        <v>11</v>
      </c>
      <c r="L8" s="258">
        <v>12</v>
      </c>
      <c r="M8" s="258">
        <v>13</v>
      </c>
      <c r="N8" s="266"/>
    </row>
    <row r="9" spans="1:14" s="292" customFormat="1" ht="14.25" customHeight="1">
      <c r="A9" s="258">
        <v>1</v>
      </c>
      <c r="B9" s="272" t="s">
        <v>517</v>
      </c>
      <c r="C9" s="258">
        <f aca="true" t="shared" si="0" ref="C9:M9">SUM(C10:C22)</f>
        <v>10</v>
      </c>
      <c r="D9" s="258">
        <f t="shared" si="0"/>
        <v>108</v>
      </c>
      <c r="E9" s="258">
        <f t="shared" si="0"/>
        <v>8956</v>
      </c>
      <c r="F9" s="258">
        <f t="shared" si="0"/>
        <v>0</v>
      </c>
      <c r="G9" s="258">
        <f t="shared" si="0"/>
        <v>0</v>
      </c>
      <c r="H9" s="258">
        <f t="shared" si="0"/>
        <v>195</v>
      </c>
      <c r="I9" s="258">
        <f t="shared" si="0"/>
        <v>97.11</v>
      </c>
      <c r="J9" s="258">
        <f t="shared" si="0"/>
        <v>53</v>
      </c>
      <c r="K9" s="317">
        <f t="shared" si="0"/>
        <v>134</v>
      </c>
      <c r="L9" s="258">
        <f t="shared" si="0"/>
        <v>66</v>
      </c>
      <c r="M9" s="258">
        <f t="shared" si="0"/>
        <v>157</v>
      </c>
      <c r="N9" s="301"/>
    </row>
    <row r="10" spans="1:14" ht="12.75">
      <c r="A10" s="273"/>
      <c r="B10" s="261" t="s">
        <v>456</v>
      </c>
      <c r="C10" s="273" t="s">
        <v>408</v>
      </c>
      <c r="D10" s="273" t="s">
        <v>408</v>
      </c>
      <c r="E10" s="273" t="s">
        <v>408</v>
      </c>
      <c r="F10" s="273" t="s">
        <v>408</v>
      </c>
      <c r="G10" s="273" t="s">
        <v>408</v>
      </c>
      <c r="H10" s="273" t="s">
        <v>408</v>
      </c>
      <c r="I10" s="273" t="s">
        <v>408</v>
      </c>
      <c r="J10" s="273" t="s">
        <v>408</v>
      </c>
      <c r="K10" s="318" t="s">
        <v>408</v>
      </c>
      <c r="L10" s="273" t="s">
        <v>408</v>
      </c>
      <c r="M10" s="273" t="s">
        <v>408</v>
      </c>
      <c r="N10" s="266"/>
    </row>
    <row r="11" spans="1:14" ht="12.75">
      <c r="A11" s="273"/>
      <c r="B11" s="261" t="s">
        <v>457</v>
      </c>
      <c r="C11" s="273" t="s">
        <v>408</v>
      </c>
      <c r="D11" s="273" t="s">
        <v>408</v>
      </c>
      <c r="E11" s="273" t="s">
        <v>408</v>
      </c>
      <c r="F11" s="273" t="s">
        <v>408</v>
      </c>
      <c r="G11" s="273" t="s">
        <v>408</v>
      </c>
      <c r="H11" s="273" t="s">
        <v>408</v>
      </c>
      <c r="I11" s="273" t="s">
        <v>408</v>
      </c>
      <c r="J11" s="273" t="s">
        <v>408</v>
      </c>
      <c r="K11" s="318" t="s">
        <v>408</v>
      </c>
      <c r="L11" s="273" t="s">
        <v>408</v>
      </c>
      <c r="M11" s="273" t="s">
        <v>408</v>
      </c>
      <c r="N11" s="266"/>
    </row>
    <row r="12" spans="1:14" ht="12.75">
      <c r="A12" s="273"/>
      <c r="B12" s="261" t="s">
        <v>458</v>
      </c>
      <c r="C12" s="273" t="s">
        <v>408</v>
      </c>
      <c r="D12" s="273" t="s">
        <v>408</v>
      </c>
      <c r="E12" s="273" t="s">
        <v>408</v>
      </c>
      <c r="F12" s="273" t="s">
        <v>408</v>
      </c>
      <c r="G12" s="273" t="s">
        <v>408</v>
      </c>
      <c r="H12" s="273" t="s">
        <v>408</v>
      </c>
      <c r="I12" s="273" t="s">
        <v>408</v>
      </c>
      <c r="J12" s="273" t="s">
        <v>408</v>
      </c>
      <c r="K12" s="318" t="s">
        <v>408</v>
      </c>
      <c r="L12" s="273" t="s">
        <v>408</v>
      </c>
      <c r="M12" s="273" t="s">
        <v>408</v>
      </c>
      <c r="N12" s="266"/>
    </row>
    <row r="13" spans="1:14" ht="12.75">
      <c r="A13" s="273"/>
      <c r="B13" s="261" t="s">
        <v>459</v>
      </c>
      <c r="C13" s="273" t="s">
        <v>408</v>
      </c>
      <c r="D13" s="273" t="s">
        <v>408</v>
      </c>
      <c r="E13" s="273" t="s">
        <v>408</v>
      </c>
      <c r="F13" s="273" t="s">
        <v>408</v>
      </c>
      <c r="G13" s="273" t="s">
        <v>408</v>
      </c>
      <c r="H13" s="273" t="s">
        <v>408</v>
      </c>
      <c r="I13" s="273" t="s">
        <v>408</v>
      </c>
      <c r="J13" s="273" t="s">
        <v>408</v>
      </c>
      <c r="K13" s="318" t="s">
        <v>408</v>
      </c>
      <c r="L13" s="273" t="s">
        <v>408</v>
      </c>
      <c r="M13" s="273" t="s">
        <v>408</v>
      </c>
      <c r="N13" s="266"/>
    </row>
    <row r="14" spans="1:14" ht="12.75">
      <c r="A14" s="273"/>
      <c r="B14" s="261" t="s">
        <v>460</v>
      </c>
      <c r="C14" s="273" t="s">
        <v>408</v>
      </c>
      <c r="D14" s="273" t="s">
        <v>408</v>
      </c>
      <c r="E14" s="273" t="s">
        <v>408</v>
      </c>
      <c r="F14" s="273" t="s">
        <v>408</v>
      </c>
      <c r="G14" s="273" t="s">
        <v>408</v>
      </c>
      <c r="H14" s="273" t="s">
        <v>408</v>
      </c>
      <c r="I14" s="273" t="s">
        <v>408</v>
      </c>
      <c r="J14" s="273" t="s">
        <v>408</v>
      </c>
      <c r="K14" s="318" t="s">
        <v>408</v>
      </c>
      <c r="L14" s="273" t="s">
        <v>408</v>
      </c>
      <c r="M14" s="273" t="s">
        <v>408</v>
      </c>
      <c r="N14" s="266"/>
    </row>
    <row r="15" spans="1:14" ht="12.75">
      <c r="A15" s="273"/>
      <c r="B15" s="261" t="s">
        <v>461</v>
      </c>
      <c r="C15" s="273">
        <v>2</v>
      </c>
      <c r="D15" s="273">
        <v>16</v>
      </c>
      <c r="E15" s="273">
        <v>1196</v>
      </c>
      <c r="F15" s="273" t="s">
        <v>408</v>
      </c>
      <c r="G15" s="273" t="s">
        <v>408</v>
      </c>
      <c r="H15" s="273">
        <v>29</v>
      </c>
      <c r="I15" s="273">
        <v>41.24</v>
      </c>
      <c r="J15" s="273">
        <v>12</v>
      </c>
      <c r="K15" s="318">
        <v>29</v>
      </c>
      <c r="L15" s="273">
        <v>12</v>
      </c>
      <c r="M15" s="273">
        <v>29</v>
      </c>
      <c r="N15" s="266"/>
    </row>
    <row r="16" spans="1:14" ht="12.75">
      <c r="A16" s="273"/>
      <c r="B16" s="261" t="s">
        <v>462</v>
      </c>
      <c r="C16" s="273">
        <v>3</v>
      </c>
      <c r="D16" s="273">
        <v>40</v>
      </c>
      <c r="E16" s="273">
        <v>1837</v>
      </c>
      <c r="F16" s="273" t="s">
        <v>408</v>
      </c>
      <c r="G16" s="273" t="s">
        <v>408</v>
      </c>
      <c r="H16" s="273">
        <v>100</v>
      </c>
      <c r="I16" s="273">
        <v>18.37</v>
      </c>
      <c r="J16" s="273">
        <v>38</v>
      </c>
      <c r="K16" s="318">
        <v>97</v>
      </c>
      <c r="L16" s="273">
        <v>38</v>
      </c>
      <c r="M16" s="273">
        <v>97</v>
      </c>
      <c r="N16" s="266"/>
    </row>
    <row r="17" spans="1:14" ht="12.75">
      <c r="A17" s="273"/>
      <c r="B17" s="261" t="s">
        <v>463</v>
      </c>
      <c r="C17" s="273" t="s">
        <v>408</v>
      </c>
      <c r="D17" s="273" t="s">
        <v>408</v>
      </c>
      <c r="E17" s="273" t="s">
        <v>408</v>
      </c>
      <c r="F17" s="273" t="s">
        <v>408</v>
      </c>
      <c r="G17" s="273" t="s">
        <v>408</v>
      </c>
      <c r="H17" s="273" t="s">
        <v>408</v>
      </c>
      <c r="I17" s="273" t="s">
        <v>408</v>
      </c>
      <c r="J17" s="273" t="s">
        <v>408</v>
      </c>
      <c r="K17" s="318" t="s">
        <v>408</v>
      </c>
      <c r="L17" s="273" t="s">
        <v>408</v>
      </c>
      <c r="M17" s="273" t="s">
        <v>408</v>
      </c>
      <c r="N17" s="266"/>
    </row>
    <row r="18" spans="1:14" ht="12.75">
      <c r="A18" s="273"/>
      <c r="B18" s="261" t="s">
        <v>464</v>
      </c>
      <c r="C18" s="273" t="s">
        <v>408</v>
      </c>
      <c r="D18" s="273" t="s">
        <v>408</v>
      </c>
      <c r="E18" s="273" t="s">
        <v>408</v>
      </c>
      <c r="F18" s="273" t="s">
        <v>408</v>
      </c>
      <c r="G18" s="273" t="s">
        <v>408</v>
      </c>
      <c r="H18" s="273" t="s">
        <v>408</v>
      </c>
      <c r="I18" s="273" t="s">
        <v>408</v>
      </c>
      <c r="J18" s="273" t="s">
        <v>408</v>
      </c>
      <c r="K18" s="318" t="s">
        <v>408</v>
      </c>
      <c r="L18" s="273" t="s">
        <v>408</v>
      </c>
      <c r="M18" s="273" t="s">
        <v>408</v>
      </c>
      <c r="N18" s="266"/>
    </row>
    <row r="19" spans="1:14" ht="12.75">
      <c r="A19" s="273"/>
      <c r="B19" s="261" t="s">
        <v>465</v>
      </c>
      <c r="C19" s="273">
        <v>2</v>
      </c>
      <c r="D19" s="273">
        <v>24</v>
      </c>
      <c r="E19" s="273">
        <v>4220</v>
      </c>
      <c r="F19" s="273" t="s">
        <v>408</v>
      </c>
      <c r="G19" s="273" t="s">
        <v>408</v>
      </c>
      <c r="H19" s="273">
        <v>38</v>
      </c>
      <c r="I19" s="273"/>
      <c r="J19" s="273">
        <v>3</v>
      </c>
      <c r="K19" s="318">
        <v>8</v>
      </c>
      <c r="L19" s="273">
        <v>6</v>
      </c>
      <c r="M19" s="273">
        <v>15</v>
      </c>
      <c r="N19" s="266"/>
    </row>
    <row r="20" spans="1:14" ht="12.75">
      <c r="A20" s="273"/>
      <c r="B20" s="261" t="s">
        <v>466</v>
      </c>
      <c r="C20" s="273">
        <v>2</v>
      </c>
      <c r="D20" s="273">
        <v>16</v>
      </c>
      <c r="E20" s="273">
        <v>1050</v>
      </c>
      <c r="F20" s="273" t="s">
        <v>408</v>
      </c>
      <c r="G20" s="273" t="s">
        <v>408</v>
      </c>
      <c r="H20" s="273">
        <v>28</v>
      </c>
      <c r="I20" s="273">
        <v>37.5</v>
      </c>
      <c r="J20" s="273" t="s">
        <v>882</v>
      </c>
      <c r="K20" s="318" t="s">
        <v>408</v>
      </c>
      <c r="L20" s="273">
        <v>10</v>
      </c>
      <c r="M20" s="273">
        <v>16</v>
      </c>
      <c r="N20" s="266"/>
    </row>
    <row r="21" spans="1:14" ht="12.75">
      <c r="A21" s="273"/>
      <c r="B21" s="261" t="s">
        <v>467</v>
      </c>
      <c r="C21" s="273" t="s">
        <v>408</v>
      </c>
      <c r="D21" s="273" t="s">
        <v>408</v>
      </c>
      <c r="E21" s="273" t="s">
        <v>408</v>
      </c>
      <c r="F21" s="273" t="s">
        <v>408</v>
      </c>
      <c r="G21" s="273" t="s">
        <v>408</v>
      </c>
      <c r="H21" s="273" t="s">
        <v>408</v>
      </c>
      <c r="I21" s="273" t="s">
        <v>408</v>
      </c>
      <c r="J21" s="273" t="s">
        <v>408</v>
      </c>
      <c r="K21" s="318" t="s">
        <v>408</v>
      </c>
      <c r="L21" s="273" t="s">
        <v>408</v>
      </c>
      <c r="M21" s="273" t="s">
        <v>408</v>
      </c>
      <c r="N21" s="266"/>
    </row>
    <row r="22" spans="1:14" ht="12.75">
      <c r="A22" s="273"/>
      <c r="B22" s="261" t="s">
        <v>468</v>
      </c>
      <c r="C22" s="273">
        <v>1</v>
      </c>
      <c r="D22" s="273">
        <v>12</v>
      </c>
      <c r="E22" s="273">
        <v>653</v>
      </c>
      <c r="F22" s="273" t="s">
        <v>408</v>
      </c>
      <c r="G22" s="273" t="s">
        <v>408</v>
      </c>
      <c r="H22" s="273" t="s">
        <v>408</v>
      </c>
      <c r="I22" s="273" t="s">
        <v>408</v>
      </c>
      <c r="J22" s="273" t="s">
        <v>408</v>
      </c>
      <c r="K22" s="318" t="s">
        <v>408</v>
      </c>
      <c r="L22" s="273" t="s">
        <v>408</v>
      </c>
      <c r="M22" s="273" t="s">
        <v>408</v>
      </c>
      <c r="N22" s="266"/>
    </row>
    <row r="23" spans="1:14" ht="14.25" customHeight="1">
      <c r="A23" s="258">
        <v>2</v>
      </c>
      <c r="B23" s="272" t="s">
        <v>518</v>
      </c>
      <c r="C23" s="258">
        <f>SUM(C24:C36)</f>
        <v>4254</v>
      </c>
      <c r="D23" s="258">
        <f>SUM(D24:D36)</f>
        <v>4381</v>
      </c>
      <c r="E23" s="258">
        <f>SUM(E24:E36)</f>
        <v>251330</v>
      </c>
      <c r="F23" s="258">
        <f>SUM(F24:F36)</f>
        <v>0</v>
      </c>
      <c r="G23" s="258">
        <f aca="true" t="shared" si="1" ref="G23:M23">SUM(G24:G36)</f>
        <v>0</v>
      </c>
      <c r="H23" s="258">
        <f t="shared" si="1"/>
        <v>9707</v>
      </c>
      <c r="I23" s="258">
        <f t="shared" si="1"/>
        <v>316.082</v>
      </c>
      <c r="J23" s="258">
        <f t="shared" si="1"/>
        <v>2431</v>
      </c>
      <c r="K23" s="317">
        <f t="shared" si="1"/>
        <v>6168</v>
      </c>
      <c r="L23" s="258">
        <f t="shared" si="1"/>
        <v>3156</v>
      </c>
      <c r="M23" s="258">
        <f t="shared" si="1"/>
        <v>7971</v>
      </c>
      <c r="N23" s="266"/>
    </row>
    <row r="24" spans="1:14" ht="12.75">
      <c r="A24" s="273"/>
      <c r="B24" s="261" t="s">
        <v>456</v>
      </c>
      <c r="C24" s="273">
        <v>225</v>
      </c>
      <c r="D24" s="273">
        <v>225</v>
      </c>
      <c r="E24" s="273">
        <v>14500</v>
      </c>
      <c r="F24" s="273" t="s">
        <v>408</v>
      </c>
      <c r="G24" s="273" t="s">
        <v>408</v>
      </c>
      <c r="H24" s="273">
        <v>586</v>
      </c>
      <c r="I24" s="273">
        <v>24.7</v>
      </c>
      <c r="J24" s="273">
        <v>150</v>
      </c>
      <c r="K24" s="318">
        <v>450</v>
      </c>
      <c r="L24" s="273">
        <v>206</v>
      </c>
      <c r="M24" s="273">
        <v>542</v>
      </c>
      <c r="N24" s="266"/>
    </row>
    <row r="25" spans="1:14" ht="12.75">
      <c r="A25" s="273"/>
      <c r="B25" s="261" t="s">
        <v>457</v>
      </c>
      <c r="C25" s="273">
        <v>301</v>
      </c>
      <c r="D25" s="273">
        <v>301</v>
      </c>
      <c r="E25" s="273">
        <v>16254</v>
      </c>
      <c r="F25" s="273" t="s">
        <v>408</v>
      </c>
      <c r="G25" s="273" t="s">
        <v>408</v>
      </c>
      <c r="H25" s="273">
        <v>784</v>
      </c>
      <c r="I25" s="273">
        <v>20.7</v>
      </c>
      <c r="J25" s="273">
        <v>178</v>
      </c>
      <c r="K25" s="318">
        <v>571</v>
      </c>
      <c r="L25" s="273">
        <v>165</v>
      </c>
      <c r="M25" s="273">
        <v>517</v>
      </c>
      <c r="N25" s="266"/>
    </row>
    <row r="26" spans="1:14" ht="12.75">
      <c r="A26" s="273"/>
      <c r="B26" s="261" t="s">
        <v>458</v>
      </c>
      <c r="C26" s="273">
        <v>225</v>
      </c>
      <c r="D26" s="273">
        <v>235</v>
      </c>
      <c r="E26" s="273">
        <v>12690</v>
      </c>
      <c r="F26" s="273" t="s">
        <v>408</v>
      </c>
      <c r="G26" s="273" t="s">
        <v>408</v>
      </c>
      <c r="H26" s="273">
        <v>480</v>
      </c>
      <c r="I26" s="273">
        <v>26.4</v>
      </c>
      <c r="J26" s="273">
        <v>11</v>
      </c>
      <c r="K26" s="318">
        <v>26</v>
      </c>
      <c r="L26" s="273">
        <v>139</v>
      </c>
      <c r="M26" s="273">
        <v>300</v>
      </c>
      <c r="N26" s="266"/>
    </row>
    <row r="27" spans="1:14" ht="12.75">
      <c r="A27" s="273"/>
      <c r="B27" s="261" t="s">
        <v>459</v>
      </c>
      <c r="C27" s="273">
        <v>197</v>
      </c>
      <c r="D27" s="273">
        <v>197</v>
      </c>
      <c r="E27" s="273">
        <v>9800</v>
      </c>
      <c r="F27" s="273" t="s">
        <v>408</v>
      </c>
      <c r="G27" s="273" t="s">
        <v>408</v>
      </c>
      <c r="H27" s="273">
        <v>513</v>
      </c>
      <c r="I27" s="273">
        <v>19.1</v>
      </c>
      <c r="J27" s="273">
        <v>129</v>
      </c>
      <c r="K27" s="318">
        <v>410</v>
      </c>
      <c r="L27" s="273">
        <v>153</v>
      </c>
      <c r="M27" s="273">
        <v>487</v>
      </c>
      <c r="N27" s="266"/>
    </row>
    <row r="28" spans="1:14" ht="12.75">
      <c r="A28" s="273"/>
      <c r="B28" s="261" t="s">
        <v>460</v>
      </c>
      <c r="C28" s="273">
        <v>173</v>
      </c>
      <c r="D28" s="273">
        <v>173</v>
      </c>
      <c r="E28" s="273">
        <v>9700</v>
      </c>
      <c r="F28" s="273" t="s">
        <v>408</v>
      </c>
      <c r="G28" s="273" t="s">
        <v>408</v>
      </c>
      <c r="H28" s="273">
        <v>465</v>
      </c>
      <c r="I28" s="273">
        <v>20.8</v>
      </c>
      <c r="J28" s="273">
        <v>69</v>
      </c>
      <c r="K28" s="318">
        <v>248</v>
      </c>
      <c r="L28" s="273">
        <v>126</v>
      </c>
      <c r="M28" s="273">
        <v>262</v>
      </c>
      <c r="N28" s="266"/>
    </row>
    <row r="29" spans="1:14" ht="12.75">
      <c r="A29" s="273"/>
      <c r="B29" s="261" t="s">
        <v>461</v>
      </c>
      <c r="C29" s="273">
        <v>440</v>
      </c>
      <c r="D29" s="273">
        <v>468</v>
      </c>
      <c r="E29" s="273">
        <v>30090</v>
      </c>
      <c r="F29" s="273" t="s">
        <v>408</v>
      </c>
      <c r="G29" s="273" t="s">
        <v>408</v>
      </c>
      <c r="H29" s="318">
        <v>1048</v>
      </c>
      <c r="I29" s="318">
        <v>27.7</v>
      </c>
      <c r="J29" s="318">
        <v>352</v>
      </c>
      <c r="K29" s="318">
        <v>1002</v>
      </c>
      <c r="L29" s="318">
        <v>419</v>
      </c>
      <c r="M29" s="318">
        <v>1129</v>
      </c>
      <c r="N29" s="266"/>
    </row>
    <row r="30" spans="1:14" ht="12.75">
      <c r="A30" s="273"/>
      <c r="B30" s="261" t="s">
        <v>462</v>
      </c>
      <c r="C30" s="273">
        <v>812</v>
      </c>
      <c r="D30" s="273">
        <v>863</v>
      </c>
      <c r="E30" s="273">
        <v>56480</v>
      </c>
      <c r="F30" s="273" t="s">
        <v>408</v>
      </c>
      <c r="G30" s="273" t="s">
        <v>408</v>
      </c>
      <c r="H30" s="318">
        <v>1462</v>
      </c>
      <c r="I30" s="318">
        <v>38.632</v>
      </c>
      <c r="J30" s="318">
        <v>603</v>
      </c>
      <c r="K30" s="318">
        <v>1139</v>
      </c>
      <c r="L30" s="318">
        <v>583</v>
      </c>
      <c r="M30" s="318">
        <v>1292</v>
      </c>
      <c r="N30" s="266"/>
    </row>
    <row r="31" spans="1:14" ht="12.75">
      <c r="A31" s="273"/>
      <c r="B31" s="261" t="s">
        <v>463</v>
      </c>
      <c r="C31" s="273">
        <v>241</v>
      </c>
      <c r="D31" s="273">
        <v>247</v>
      </c>
      <c r="E31" s="273">
        <v>13695</v>
      </c>
      <c r="F31" s="273" t="s">
        <v>408</v>
      </c>
      <c r="G31" s="273" t="s">
        <v>408</v>
      </c>
      <c r="H31" s="273">
        <v>707</v>
      </c>
      <c r="I31" s="273">
        <v>19.4</v>
      </c>
      <c r="J31" s="273">
        <v>210</v>
      </c>
      <c r="K31" s="318">
        <v>601</v>
      </c>
      <c r="L31" s="273">
        <v>209</v>
      </c>
      <c r="M31" s="273">
        <v>598</v>
      </c>
      <c r="N31" s="266"/>
    </row>
    <row r="32" spans="1:14" ht="12.75">
      <c r="A32" s="273"/>
      <c r="B32" s="261" t="s">
        <v>464</v>
      </c>
      <c r="C32" s="273">
        <v>207</v>
      </c>
      <c r="D32" s="273">
        <v>207</v>
      </c>
      <c r="E32" s="273">
        <v>11178</v>
      </c>
      <c r="F32" s="270" t="s">
        <v>408</v>
      </c>
      <c r="G32" s="273" t="s">
        <v>408</v>
      </c>
      <c r="H32" s="273">
        <v>608</v>
      </c>
      <c r="I32" s="273">
        <v>18.4</v>
      </c>
      <c r="J32" s="273">
        <v>70</v>
      </c>
      <c r="K32" s="318">
        <v>376</v>
      </c>
      <c r="L32" s="273">
        <v>164</v>
      </c>
      <c r="M32" s="273">
        <v>459</v>
      </c>
      <c r="N32" s="266"/>
    </row>
    <row r="33" spans="1:14" ht="12.75">
      <c r="A33" s="273"/>
      <c r="B33" s="261" t="s">
        <v>465</v>
      </c>
      <c r="C33" s="273">
        <v>182</v>
      </c>
      <c r="D33" s="273">
        <v>214</v>
      </c>
      <c r="E33" s="273">
        <v>14287</v>
      </c>
      <c r="F33" s="273" t="s">
        <v>408</v>
      </c>
      <c r="G33" s="273" t="s">
        <v>408</v>
      </c>
      <c r="H33" s="318">
        <v>599</v>
      </c>
      <c r="I33" s="318">
        <v>23.85</v>
      </c>
      <c r="J33" s="318">
        <v>110</v>
      </c>
      <c r="K33" s="318">
        <v>431</v>
      </c>
      <c r="L33" s="318">
        <v>197</v>
      </c>
      <c r="M33" s="318">
        <v>526</v>
      </c>
      <c r="N33" s="266"/>
    </row>
    <row r="34" spans="1:14" ht="12.75">
      <c r="A34" s="273"/>
      <c r="B34" s="261" t="s">
        <v>466</v>
      </c>
      <c r="C34" s="273">
        <v>345</v>
      </c>
      <c r="D34" s="273">
        <v>345</v>
      </c>
      <c r="E34" s="273">
        <v>16890</v>
      </c>
      <c r="F34" s="273" t="s">
        <v>408</v>
      </c>
      <c r="G34" s="273" t="s">
        <v>408</v>
      </c>
      <c r="H34" s="318">
        <v>751</v>
      </c>
      <c r="I34" s="318">
        <v>22.5</v>
      </c>
      <c r="J34" s="318">
        <v>266</v>
      </c>
      <c r="K34" s="318">
        <v>409</v>
      </c>
      <c r="L34" s="318">
        <v>230</v>
      </c>
      <c r="M34" s="318">
        <v>559</v>
      </c>
      <c r="N34" s="266"/>
    </row>
    <row r="35" spans="1:14" ht="12.75">
      <c r="A35" s="273"/>
      <c r="B35" s="261" t="s">
        <v>467</v>
      </c>
      <c r="C35" s="273">
        <v>532</v>
      </c>
      <c r="D35" s="273">
        <v>532</v>
      </c>
      <c r="E35" s="273">
        <v>26600</v>
      </c>
      <c r="F35" s="273" t="s">
        <v>408</v>
      </c>
      <c r="G35" s="273" t="s">
        <v>408</v>
      </c>
      <c r="H35" s="273">
        <v>1005</v>
      </c>
      <c r="I35" s="273">
        <v>26.5</v>
      </c>
      <c r="J35" s="273">
        <v>195</v>
      </c>
      <c r="K35" s="318">
        <v>303</v>
      </c>
      <c r="L35" s="273">
        <v>339</v>
      </c>
      <c r="M35" s="273">
        <v>780</v>
      </c>
      <c r="N35" s="266"/>
    </row>
    <row r="36" spans="1:14" ht="12.75">
      <c r="A36" s="273"/>
      <c r="B36" s="261" t="s">
        <v>468</v>
      </c>
      <c r="C36" s="273">
        <v>374</v>
      </c>
      <c r="D36" s="273">
        <v>374</v>
      </c>
      <c r="E36" s="273">
        <v>19166</v>
      </c>
      <c r="F36" s="273" t="s">
        <v>408</v>
      </c>
      <c r="G36" s="273" t="s">
        <v>408</v>
      </c>
      <c r="H36" s="273">
        <v>699</v>
      </c>
      <c r="I36" s="273">
        <v>27.4</v>
      </c>
      <c r="J36" s="273">
        <v>88</v>
      </c>
      <c r="K36" s="318">
        <v>202</v>
      </c>
      <c r="L36" s="273">
        <v>226</v>
      </c>
      <c r="M36" s="273">
        <v>520</v>
      </c>
      <c r="N36" s="266"/>
    </row>
    <row r="37" spans="1:17" ht="12" customHeight="1">
      <c r="A37" s="258"/>
      <c r="B37" s="272" t="s">
        <v>519</v>
      </c>
      <c r="C37" s="258">
        <f>C9+C23</f>
        <v>4264</v>
      </c>
      <c r="D37" s="258">
        <f aca="true" t="shared" si="2" ref="D37:M37">D9+D23</f>
        <v>4489</v>
      </c>
      <c r="E37" s="258">
        <f t="shared" si="2"/>
        <v>260286</v>
      </c>
      <c r="F37" s="258">
        <f t="shared" si="2"/>
        <v>0</v>
      </c>
      <c r="G37" s="258">
        <f t="shared" si="2"/>
        <v>0</v>
      </c>
      <c r="H37" s="258">
        <f t="shared" si="2"/>
        <v>9902</v>
      </c>
      <c r="I37" s="258">
        <f t="shared" si="2"/>
        <v>413.192</v>
      </c>
      <c r="J37" s="258">
        <f t="shared" si="2"/>
        <v>2484</v>
      </c>
      <c r="K37" s="317">
        <f t="shared" si="2"/>
        <v>6302</v>
      </c>
      <c r="L37" s="258">
        <f t="shared" si="2"/>
        <v>3222</v>
      </c>
      <c r="M37" s="258">
        <f t="shared" si="2"/>
        <v>8128</v>
      </c>
      <c r="N37" s="266"/>
      <c r="Q37" s="267">
        <f>100-81-2.3</f>
        <v>16.7</v>
      </c>
    </row>
  </sheetData>
  <sheetProtection/>
  <mergeCells count="19">
    <mergeCell ref="L1:M1"/>
    <mergeCell ref="A2:M2"/>
    <mergeCell ref="L5:M5"/>
    <mergeCell ref="E6:E7"/>
    <mergeCell ref="F6:G6"/>
    <mergeCell ref="J6:J7"/>
    <mergeCell ref="K6:K7"/>
    <mergeCell ref="C4:I4"/>
    <mergeCell ref="J4:M4"/>
    <mergeCell ref="L6:L7"/>
    <mergeCell ref="M6:M7"/>
    <mergeCell ref="J5:K5"/>
    <mergeCell ref="A4:A7"/>
    <mergeCell ref="B4:B7"/>
    <mergeCell ref="C5:C7"/>
    <mergeCell ref="H5:H7"/>
    <mergeCell ref="I5:I7"/>
    <mergeCell ref="D5:D7"/>
    <mergeCell ref="E5:G5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1" sqref="U21"/>
    </sheetView>
  </sheetViews>
  <sheetFormatPr defaultColWidth="9.00390625" defaultRowHeight="12.75"/>
  <cols>
    <col min="1" max="1" width="3.875" style="0" customWidth="1"/>
    <col min="2" max="2" width="25.25390625" style="0" customWidth="1"/>
    <col min="3" max="21" width="6.75390625" style="0" customWidth="1"/>
  </cols>
  <sheetData>
    <row r="1" spans="20:21" ht="15.75">
      <c r="T1" s="445" t="s">
        <v>543</v>
      </c>
      <c r="U1" s="445"/>
    </row>
    <row r="2" spans="1:21" ht="29.25" customHeight="1">
      <c r="A2" s="438" t="s">
        <v>544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4" spans="1:21" ht="24.75" customHeight="1">
      <c r="A4" s="422" t="s">
        <v>107</v>
      </c>
      <c r="B4" s="422" t="s">
        <v>527</v>
      </c>
      <c r="C4" s="422" t="s">
        <v>528</v>
      </c>
      <c r="D4" s="422"/>
      <c r="E4" s="422"/>
      <c r="F4" s="422"/>
      <c r="G4" s="422" t="s">
        <v>529</v>
      </c>
      <c r="H4" s="422"/>
      <c r="I4" s="422"/>
      <c r="J4" s="422"/>
      <c r="K4" s="422" t="s">
        <v>530</v>
      </c>
      <c r="L4" s="422"/>
      <c r="M4" s="422"/>
      <c r="N4" s="422" t="s">
        <v>531</v>
      </c>
      <c r="O4" s="422"/>
      <c r="P4" s="422"/>
      <c r="Q4" s="422"/>
      <c r="R4" s="422" t="s">
        <v>532</v>
      </c>
      <c r="S4" s="422"/>
      <c r="T4" s="422"/>
      <c r="U4" s="422"/>
    </row>
    <row r="5" spans="1:21" ht="113.25">
      <c r="A5" s="422"/>
      <c r="B5" s="422"/>
      <c r="C5" s="274" t="s">
        <v>533</v>
      </c>
      <c r="D5" s="274" t="s">
        <v>534</v>
      </c>
      <c r="E5" s="274" t="s">
        <v>535</v>
      </c>
      <c r="F5" s="274" t="s">
        <v>536</v>
      </c>
      <c r="G5" s="274" t="s">
        <v>533</v>
      </c>
      <c r="H5" s="274" t="s">
        <v>537</v>
      </c>
      <c r="I5" s="274" t="s">
        <v>535</v>
      </c>
      <c r="J5" s="274" t="s">
        <v>536</v>
      </c>
      <c r="K5" s="274" t="s">
        <v>533</v>
      </c>
      <c r="L5" s="274" t="s">
        <v>542</v>
      </c>
      <c r="M5" s="274" t="s">
        <v>535</v>
      </c>
      <c r="N5" s="274" t="s">
        <v>533</v>
      </c>
      <c r="O5" s="274" t="s">
        <v>538</v>
      </c>
      <c r="P5" s="274" t="s">
        <v>535</v>
      </c>
      <c r="Q5" s="274" t="s">
        <v>542</v>
      </c>
      <c r="R5" s="274" t="s">
        <v>533</v>
      </c>
      <c r="S5" s="274" t="s">
        <v>539</v>
      </c>
      <c r="T5" s="274" t="s">
        <v>535</v>
      </c>
      <c r="U5" s="274" t="s">
        <v>542</v>
      </c>
    </row>
    <row r="6" spans="1:21" ht="12.75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8">
        <v>13</v>
      </c>
      <c r="N6" s="258">
        <v>14</v>
      </c>
      <c r="O6" s="258">
        <v>15</v>
      </c>
      <c r="P6" s="258">
        <v>16</v>
      </c>
      <c r="Q6" s="258">
        <v>17</v>
      </c>
      <c r="R6" s="258">
        <v>18</v>
      </c>
      <c r="S6" s="258">
        <v>19</v>
      </c>
      <c r="T6" s="258">
        <v>20</v>
      </c>
      <c r="U6" s="258">
        <v>21</v>
      </c>
    </row>
    <row r="7" spans="1:21" ht="12.75" customHeight="1">
      <c r="A7" s="261"/>
      <c r="B7" s="261" t="s">
        <v>456</v>
      </c>
      <c r="C7" s="293">
        <v>1</v>
      </c>
      <c r="D7" s="293">
        <v>192</v>
      </c>
      <c r="E7" s="293" t="s">
        <v>540</v>
      </c>
      <c r="F7" s="312">
        <v>1</v>
      </c>
      <c r="G7" s="293"/>
      <c r="H7" s="293"/>
      <c r="I7" s="293"/>
      <c r="J7" s="293"/>
      <c r="K7" s="293">
        <v>2</v>
      </c>
      <c r="L7" s="298">
        <f>'т5'!K7/'т2'!C14*100</f>
        <v>0.3412969283276451</v>
      </c>
      <c r="M7" s="293" t="s">
        <v>540</v>
      </c>
      <c r="N7" s="293">
        <v>1</v>
      </c>
      <c r="O7" s="293">
        <v>205</v>
      </c>
      <c r="P7" s="293" t="s">
        <v>540</v>
      </c>
      <c r="Q7" s="298">
        <f>N7/'т2'!C14*100</f>
        <v>0.17064846416382254</v>
      </c>
      <c r="R7" s="293">
        <v>2</v>
      </c>
      <c r="S7" s="293">
        <v>8015</v>
      </c>
      <c r="T7" s="293" t="s">
        <v>540</v>
      </c>
      <c r="U7" s="298">
        <f>R7/'т2'!C14*100</f>
        <v>0.3412969283276451</v>
      </c>
    </row>
    <row r="8" spans="1:21" ht="12.75" customHeight="1">
      <c r="A8" s="261"/>
      <c r="B8" s="261" t="s">
        <v>457</v>
      </c>
      <c r="C8" s="293">
        <v>2</v>
      </c>
      <c r="D8" s="293">
        <v>274</v>
      </c>
      <c r="E8" s="293" t="s">
        <v>540</v>
      </c>
      <c r="F8" s="312">
        <v>1</v>
      </c>
      <c r="G8" s="293"/>
      <c r="H8" s="293"/>
      <c r="I8" s="293"/>
      <c r="J8" s="293"/>
      <c r="K8" s="293">
        <v>2</v>
      </c>
      <c r="L8" s="298">
        <f>'т5'!K8/'т2'!C15*100</f>
        <v>0.25510204081632654</v>
      </c>
      <c r="M8" s="293" t="s">
        <v>540</v>
      </c>
      <c r="N8" s="293">
        <v>1</v>
      </c>
      <c r="O8" s="293">
        <v>380</v>
      </c>
      <c r="P8" s="293" t="s">
        <v>540</v>
      </c>
      <c r="Q8" s="298">
        <f>N8/'т2'!C15*100</f>
        <v>0.12755102040816327</v>
      </c>
      <c r="R8" s="293">
        <v>2</v>
      </c>
      <c r="S8" s="293">
        <v>8015</v>
      </c>
      <c r="T8" s="293" t="s">
        <v>540</v>
      </c>
      <c r="U8" s="298">
        <f>R8/'т2'!C15*100</f>
        <v>0.25510204081632654</v>
      </c>
    </row>
    <row r="9" spans="1:21" ht="12.75" customHeight="1">
      <c r="A9" s="261"/>
      <c r="B9" s="261" t="s">
        <v>458</v>
      </c>
      <c r="C9" s="293">
        <v>1</v>
      </c>
      <c r="D9" s="293">
        <v>192</v>
      </c>
      <c r="E9" s="293" t="s">
        <v>540</v>
      </c>
      <c r="F9" s="312">
        <v>1</v>
      </c>
      <c r="G9" s="293"/>
      <c r="H9" s="293"/>
      <c r="I9" s="293"/>
      <c r="J9" s="293"/>
      <c r="K9" s="293">
        <v>1</v>
      </c>
      <c r="L9" s="298">
        <f>'т5'!K9/'т2'!C16*100</f>
        <v>0.20833333333333334</v>
      </c>
      <c r="M9" s="293" t="s">
        <v>540</v>
      </c>
      <c r="N9" s="293">
        <v>1</v>
      </c>
      <c r="O9" s="293">
        <v>95</v>
      </c>
      <c r="P9" s="293" t="s">
        <v>540</v>
      </c>
      <c r="Q9" s="298">
        <f>N9/'т2'!C16*100</f>
        <v>0.20833333333333334</v>
      </c>
      <c r="R9" s="293">
        <v>2</v>
      </c>
      <c r="S9" s="293">
        <v>8015</v>
      </c>
      <c r="T9" s="293" t="s">
        <v>540</v>
      </c>
      <c r="U9" s="298">
        <f>R9/'т2'!C16*100</f>
        <v>0.4166666666666667</v>
      </c>
    </row>
    <row r="10" spans="1:21" ht="12.75" customHeight="1">
      <c r="A10" s="261"/>
      <c r="B10" s="261" t="s">
        <v>459</v>
      </c>
      <c r="C10" s="293">
        <v>1</v>
      </c>
      <c r="D10" s="293">
        <v>108</v>
      </c>
      <c r="E10" s="293" t="s">
        <v>540</v>
      </c>
      <c r="F10" s="312">
        <v>1</v>
      </c>
      <c r="G10" s="293"/>
      <c r="H10" s="293"/>
      <c r="I10" s="293"/>
      <c r="J10" s="293"/>
      <c r="K10" s="293"/>
      <c r="L10" s="298">
        <f>'т5'!K10/'т2'!C17*100</f>
        <v>0</v>
      </c>
      <c r="M10" s="293" t="s">
        <v>540</v>
      </c>
      <c r="N10" s="293">
        <v>1</v>
      </c>
      <c r="O10" s="293">
        <v>150</v>
      </c>
      <c r="P10" s="293" t="s">
        <v>540</v>
      </c>
      <c r="Q10" s="298">
        <f>N10/'т2'!C17*100</f>
        <v>0.1949317738791423</v>
      </c>
      <c r="R10" s="293">
        <v>3</v>
      </c>
      <c r="S10" s="293">
        <v>1255</v>
      </c>
      <c r="T10" s="293" t="s">
        <v>540</v>
      </c>
      <c r="U10" s="298">
        <f>R10/'т2'!C17*100</f>
        <v>0.5847953216374269</v>
      </c>
    </row>
    <row r="11" spans="1:21" ht="12.75" customHeight="1">
      <c r="A11" s="261"/>
      <c r="B11" s="261" t="s">
        <v>460</v>
      </c>
      <c r="C11" s="293">
        <v>1</v>
      </c>
      <c r="D11" s="293">
        <v>120</v>
      </c>
      <c r="E11" s="293" t="s">
        <v>540</v>
      </c>
      <c r="F11" s="312">
        <v>1</v>
      </c>
      <c r="G11" s="293"/>
      <c r="H11" s="293"/>
      <c r="I11" s="293"/>
      <c r="J11" s="293"/>
      <c r="K11" s="293">
        <v>1</v>
      </c>
      <c r="L11" s="298">
        <f>'т5'!K11/'т2'!C18*100</f>
        <v>0.21505376344086022</v>
      </c>
      <c r="M11" s="293" t="s">
        <v>540</v>
      </c>
      <c r="N11" s="293">
        <v>1</v>
      </c>
      <c r="O11" s="293">
        <v>165</v>
      </c>
      <c r="P11" s="293" t="s">
        <v>540</v>
      </c>
      <c r="Q11" s="298">
        <f>N11/'т2'!C18*100</f>
        <v>0.21505376344086022</v>
      </c>
      <c r="R11" s="293">
        <v>2</v>
      </c>
      <c r="S11" s="293">
        <v>8040</v>
      </c>
      <c r="T11" s="293" t="s">
        <v>540</v>
      </c>
      <c r="U11" s="298">
        <f>R11/'т2'!C18*100</f>
        <v>0.43010752688172044</v>
      </c>
    </row>
    <row r="12" spans="1:21" ht="12.75" customHeight="1">
      <c r="A12" s="261"/>
      <c r="B12" s="261" t="s">
        <v>461</v>
      </c>
      <c r="C12" s="293"/>
      <c r="D12" s="293"/>
      <c r="E12" s="293"/>
      <c r="F12" s="313"/>
      <c r="G12" s="293">
        <v>1</v>
      </c>
      <c r="H12" s="293">
        <v>11</v>
      </c>
      <c r="I12" s="293" t="s">
        <v>540</v>
      </c>
      <c r="J12" s="312">
        <v>1</v>
      </c>
      <c r="K12" s="293">
        <v>3</v>
      </c>
      <c r="L12" s="298">
        <f>'т5'!K12/'т2'!C19*100</f>
        <v>0.2785515320334262</v>
      </c>
      <c r="M12" s="293" t="s">
        <v>540</v>
      </c>
      <c r="N12" s="293">
        <v>1</v>
      </c>
      <c r="O12" s="293">
        <v>224</v>
      </c>
      <c r="P12" s="293" t="s">
        <v>540</v>
      </c>
      <c r="Q12" s="298">
        <f>N12/'т2'!C19*100</f>
        <v>0.09285051067780872</v>
      </c>
      <c r="R12" s="293">
        <v>2</v>
      </c>
      <c r="S12" s="293">
        <v>1000</v>
      </c>
      <c r="T12" s="293" t="s">
        <v>540</v>
      </c>
      <c r="U12" s="298">
        <f>R12/'т2'!C19*100</f>
        <v>0.18570102135561745</v>
      </c>
    </row>
    <row r="13" spans="1:21" ht="12.75" customHeight="1">
      <c r="A13" s="261"/>
      <c r="B13" s="261" t="s">
        <v>462</v>
      </c>
      <c r="C13" s="293">
        <v>2</v>
      </c>
      <c r="D13" s="293">
        <v>250</v>
      </c>
      <c r="E13" s="293" t="s">
        <v>540</v>
      </c>
      <c r="F13" s="312">
        <v>1</v>
      </c>
      <c r="G13" s="293">
        <v>1</v>
      </c>
      <c r="H13" s="293">
        <v>49</v>
      </c>
      <c r="I13" s="293" t="s">
        <v>540</v>
      </c>
      <c r="J13" s="312">
        <v>1</v>
      </c>
      <c r="K13" s="293">
        <v>2</v>
      </c>
      <c r="L13" s="298">
        <f>'т5'!K13/'т2'!C20*100</f>
        <v>0.12804097311139565</v>
      </c>
      <c r="M13" s="293" t="s">
        <v>540</v>
      </c>
      <c r="N13" s="293">
        <v>1</v>
      </c>
      <c r="O13" s="293">
        <v>310</v>
      </c>
      <c r="P13" s="293" t="s">
        <v>540</v>
      </c>
      <c r="Q13" s="298">
        <f>N13/'т2'!C20*100</f>
        <v>0.06402048655569782</v>
      </c>
      <c r="R13" s="293">
        <v>4</v>
      </c>
      <c r="S13" s="293">
        <v>9853</v>
      </c>
      <c r="T13" s="293" t="s">
        <v>540</v>
      </c>
      <c r="U13" s="298">
        <f>R13/'т2'!C20*100</f>
        <v>0.2560819462227913</v>
      </c>
    </row>
    <row r="14" spans="1:21" ht="12.75" customHeight="1">
      <c r="A14" s="261"/>
      <c r="B14" s="261" t="s">
        <v>463</v>
      </c>
      <c r="C14" s="293">
        <v>2</v>
      </c>
      <c r="D14" s="293">
        <v>262</v>
      </c>
      <c r="E14" s="293" t="s">
        <v>540</v>
      </c>
      <c r="F14" s="312">
        <v>1</v>
      </c>
      <c r="G14" s="293"/>
      <c r="H14" s="293"/>
      <c r="I14" s="293"/>
      <c r="J14" s="293"/>
      <c r="K14" s="293">
        <v>1</v>
      </c>
      <c r="L14" s="298">
        <f>'т5'!K14/'т2'!C21*100</f>
        <v>0.14144271570014144</v>
      </c>
      <c r="M14" s="293" t="s">
        <v>540</v>
      </c>
      <c r="N14" s="293">
        <v>1</v>
      </c>
      <c r="O14" s="293">
        <v>220</v>
      </c>
      <c r="P14" s="293" t="s">
        <v>540</v>
      </c>
      <c r="Q14" s="298">
        <f>N14/'т2'!C21*100</f>
        <v>0.14144271570014144</v>
      </c>
      <c r="R14" s="293">
        <v>4</v>
      </c>
      <c r="S14" s="293">
        <v>7995</v>
      </c>
      <c r="T14" s="293" t="s">
        <v>540</v>
      </c>
      <c r="U14" s="298">
        <f>R14/'т2'!C21*100</f>
        <v>0.5657708628005658</v>
      </c>
    </row>
    <row r="15" spans="1:21" ht="12.75" customHeight="1">
      <c r="A15" s="261"/>
      <c r="B15" s="261" t="s">
        <v>464</v>
      </c>
      <c r="C15" s="293">
        <v>1</v>
      </c>
      <c r="D15" s="293">
        <v>108</v>
      </c>
      <c r="E15" s="293" t="s">
        <v>540</v>
      </c>
      <c r="F15" s="312">
        <v>1</v>
      </c>
      <c r="G15" s="293"/>
      <c r="H15" s="293"/>
      <c r="I15" s="293"/>
      <c r="J15" s="293"/>
      <c r="K15" s="293">
        <v>2</v>
      </c>
      <c r="L15" s="298">
        <f>'т5'!K15/'т2'!C22*100</f>
        <v>0.3289473684210526</v>
      </c>
      <c r="M15" s="293" t="s">
        <v>540</v>
      </c>
      <c r="N15" s="293">
        <v>1</v>
      </c>
      <c r="O15" s="293">
        <v>240</v>
      </c>
      <c r="P15" s="293" t="s">
        <v>540</v>
      </c>
      <c r="Q15" s="298">
        <f>N15/'т2'!C22*100</f>
        <v>0.1644736842105263</v>
      </c>
      <c r="R15" s="293">
        <v>2</v>
      </c>
      <c r="S15" s="293">
        <v>8015</v>
      </c>
      <c r="T15" s="293" t="s">
        <v>540</v>
      </c>
      <c r="U15" s="298">
        <f>R15/'т2'!C22*100</f>
        <v>0.3289473684210526</v>
      </c>
    </row>
    <row r="16" spans="1:21" ht="12.75" customHeight="1">
      <c r="A16" s="261"/>
      <c r="B16" s="261" t="s">
        <v>465</v>
      </c>
      <c r="C16" s="293">
        <v>1</v>
      </c>
      <c r="D16" s="293">
        <v>216</v>
      </c>
      <c r="E16" s="293" t="s">
        <v>540</v>
      </c>
      <c r="F16" s="312">
        <v>1</v>
      </c>
      <c r="G16" s="293"/>
      <c r="H16" s="293"/>
      <c r="I16" s="293"/>
      <c r="J16" s="293"/>
      <c r="K16" s="293">
        <v>1</v>
      </c>
      <c r="L16" s="298">
        <f>'т5'!K16/'т2'!C23*100</f>
        <v>0.15698587127158556</v>
      </c>
      <c r="M16" s="293" t="s">
        <v>540</v>
      </c>
      <c r="N16" s="293">
        <v>1</v>
      </c>
      <c r="O16" s="293">
        <v>220</v>
      </c>
      <c r="P16" s="293" t="s">
        <v>540</v>
      </c>
      <c r="Q16" s="298">
        <f>N16/'т2'!C23*100</f>
        <v>0.15698587127158556</v>
      </c>
      <c r="R16" s="293">
        <v>2</v>
      </c>
      <c r="S16" s="293">
        <v>805</v>
      </c>
      <c r="T16" s="293" t="s">
        <v>540</v>
      </c>
      <c r="U16" s="298">
        <f>R16/'т2'!C23*100</f>
        <v>0.3139717425431711</v>
      </c>
    </row>
    <row r="17" spans="1:21" ht="12.75" customHeight="1">
      <c r="A17" s="261"/>
      <c r="B17" s="261" t="s">
        <v>466</v>
      </c>
      <c r="C17" s="293">
        <v>1</v>
      </c>
      <c r="D17" s="293">
        <v>120</v>
      </c>
      <c r="E17" s="293" t="s">
        <v>540</v>
      </c>
      <c r="F17" s="312">
        <v>1</v>
      </c>
      <c r="G17" s="293"/>
      <c r="H17" s="293"/>
      <c r="I17" s="293"/>
      <c r="J17" s="293"/>
      <c r="K17" s="293">
        <v>2</v>
      </c>
      <c r="L17" s="298">
        <f>'т5'!K17/'т2'!C24*100</f>
        <v>0.25673940949935814</v>
      </c>
      <c r="M17" s="293" t="s">
        <v>540</v>
      </c>
      <c r="N17" s="293">
        <v>1</v>
      </c>
      <c r="O17" s="293">
        <v>260</v>
      </c>
      <c r="P17" s="293" t="s">
        <v>540</v>
      </c>
      <c r="Q17" s="298">
        <f>N17/'т2'!C24*100</f>
        <v>0.12836970474967907</v>
      </c>
      <c r="R17" s="293">
        <v>2</v>
      </c>
      <c r="S17" s="293">
        <v>7995</v>
      </c>
      <c r="T17" s="293" t="s">
        <v>540</v>
      </c>
      <c r="U17" s="298">
        <f>R17/'т2'!C24*100</f>
        <v>0.25673940949935814</v>
      </c>
    </row>
    <row r="18" spans="1:21" ht="12.75" customHeight="1">
      <c r="A18" s="261"/>
      <c r="B18" s="261" t="s">
        <v>467</v>
      </c>
      <c r="C18" s="293">
        <v>2</v>
      </c>
      <c r="D18" s="293">
        <v>302</v>
      </c>
      <c r="E18" s="293" t="s">
        <v>540</v>
      </c>
      <c r="F18" s="312">
        <v>1</v>
      </c>
      <c r="G18" s="293"/>
      <c r="H18" s="293"/>
      <c r="I18" s="293"/>
      <c r="J18" s="293"/>
      <c r="K18" s="293">
        <v>3</v>
      </c>
      <c r="L18" s="298">
        <f>'т5'!K18/'т2'!C25*100</f>
        <v>0.2985074626865672</v>
      </c>
      <c r="M18" s="293" t="s">
        <v>540</v>
      </c>
      <c r="N18" s="293">
        <v>1</v>
      </c>
      <c r="O18" s="293">
        <v>360</v>
      </c>
      <c r="P18" s="293" t="s">
        <v>540</v>
      </c>
      <c r="Q18" s="298">
        <f>N18/'т2'!C25*100</f>
        <v>0.09950248756218905</v>
      </c>
      <c r="R18" s="293">
        <v>3</v>
      </c>
      <c r="S18" s="293">
        <v>8015</v>
      </c>
      <c r="T18" s="293" t="s">
        <v>540</v>
      </c>
      <c r="U18" s="298">
        <f>R18/'т2'!C25*100</f>
        <v>0.2985074626865672</v>
      </c>
    </row>
    <row r="19" spans="1:21" ht="12.75" customHeight="1">
      <c r="A19" s="261"/>
      <c r="B19" s="261" t="s">
        <v>468</v>
      </c>
      <c r="C19" s="293">
        <v>2</v>
      </c>
      <c r="D19" s="293">
        <v>262</v>
      </c>
      <c r="E19" s="293" t="s">
        <v>540</v>
      </c>
      <c r="F19" s="312">
        <v>1</v>
      </c>
      <c r="G19" s="293"/>
      <c r="H19" s="293"/>
      <c r="I19" s="293"/>
      <c r="J19" s="293"/>
      <c r="K19" s="293">
        <v>2</v>
      </c>
      <c r="L19" s="298">
        <f>'т5'!K19/'т2'!C26*100</f>
        <v>0.28612303290414876</v>
      </c>
      <c r="M19" s="293" t="s">
        <v>540</v>
      </c>
      <c r="N19" s="293">
        <v>1</v>
      </c>
      <c r="O19" s="293">
        <v>280</v>
      </c>
      <c r="P19" s="293" t="s">
        <v>540</v>
      </c>
      <c r="Q19" s="298">
        <f>N19/'т2'!C26*100</f>
        <v>0.14306151645207438</v>
      </c>
      <c r="R19" s="293">
        <v>3</v>
      </c>
      <c r="S19" s="293">
        <v>8015</v>
      </c>
      <c r="T19" s="293" t="s">
        <v>540</v>
      </c>
      <c r="U19" s="298">
        <f>R19/'т2'!C26*100</f>
        <v>0.4291845493562232</v>
      </c>
    </row>
    <row r="20" spans="1:21" s="292" customFormat="1" ht="25.5">
      <c r="A20" s="259"/>
      <c r="B20" s="259" t="s">
        <v>541</v>
      </c>
      <c r="C20" s="294">
        <f>SUM(C7:C19)</f>
        <v>17</v>
      </c>
      <c r="D20" s="294">
        <f>SUM(D7:D19)</f>
        <v>2406</v>
      </c>
      <c r="E20" s="294" t="s">
        <v>540</v>
      </c>
      <c r="F20" s="314">
        <v>1</v>
      </c>
      <c r="G20" s="294">
        <f>SUM(G7:G19)</f>
        <v>2</v>
      </c>
      <c r="H20" s="294">
        <f>SUM(H7:H19)</f>
        <v>60</v>
      </c>
      <c r="I20" s="294" t="s">
        <v>540</v>
      </c>
      <c r="J20" s="314">
        <v>1</v>
      </c>
      <c r="K20" s="294">
        <f>SUM(K7:K19)</f>
        <v>22</v>
      </c>
      <c r="L20" s="306">
        <f>'т5'!K20/'т2'!C27*100</f>
        <v>0.22217733791153302</v>
      </c>
      <c r="M20" s="294" t="s">
        <v>540</v>
      </c>
      <c r="N20" s="294">
        <f>SUM(N7:N19)</f>
        <v>13</v>
      </c>
      <c r="O20" s="294">
        <f>SUM(O7:O19)</f>
        <v>3109</v>
      </c>
      <c r="P20" s="294" t="s">
        <v>540</v>
      </c>
      <c r="Q20" s="304">
        <f>N20/'т2'!C27*100</f>
        <v>0.1312866087659059</v>
      </c>
      <c r="R20" s="294">
        <f>SUM(R7:R19)</f>
        <v>33</v>
      </c>
      <c r="S20" s="294">
        <f>SUM(S7:S19)</f>
        <v>85033</v>
      </c>
      <c r="T20" s="294" t="s">
        <v>540</v>
      </c>
      <c r="U20" s="304">
        <f>R20/'т2'!C27*100</f>
        <v>0.33326600686729957</v>
      </c>
    </row>
  </sheetData>
  <sheetProtection/>
  <mergeCells count="9">
    <mergeCell ref="T1:U1"/>
    <mergeCell ref="A2:U2"/>
    <mergeCell ref="R4:U4"/>
    <mergeCell ref="A4:A5"/>
    <mergeCell ref="B4:B5"/>
    <mergeCell ref="C4:F4"/>
    <mergeCell ref="G4:J4"/>
    <mergeCell ref="K4:M4"/>
    <mergeCell ref="N4:Q4"/>
  </mergeCells>
  <printOptions/>
  <pageMargins left="0.7086614173228347" right="0.5905511811023623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H107" sqref="H107"/>
    </sheetView>
  </sheetViews>
  <sheetFormatPr defaultColWidth="9.00390625" defaultRowHeight="12.75"/>
  <cols>
    <col min="1" max="1" width="5.625" style="0" customWidth="1"/>
    <col min="2" max="2" width="28.625" style="0" customWidth="1"/>
  </cols>
  <sheetData>
    <row r="1" spans="7:8" ht="15.75">
      <c r="G1" s="445" t="s">
        <v>553</v>
      </c>
      <c r="H1" s="445"/>
    </row>
    <row r="2" spans="1:8" ht="29.25" customHeight="1">
      <c r="A2" s="438" t="s">
        <v>554</v>
      </c>
      <c r="B2" s="438"/>
      <c r="C2" s="438"/>
      <c r="D2" s="438"/>
      <c r="E2" s="438"/>
      <c r="F2" s="438"/>
      <c r="G2" s="438"/>
      <c r="H2" s="438"/>
    </row>
    <row r="4" spans="1:8" ht="17.25" customHeight="1">
      <c r="A4" s="429" t="s">
        <v>107</v>
      </c>
      <c r="B4" s="429" t="s">
        <v>545</v>
      </c>
      <c r="C4" s="422" t="s">
        <v>552</v>
      </c>
      <c r="D4" s="422"/>
      <c r="E4" s="422"/>
      <c r="F4" s="422"/>
      <c r="G4" s="422"/>
      <c r="H4" s="422"/>
    </row>
    <row r="5" spans="1:8" ht="14.25" customHeight="1">
      <c r="A5" s="435"/>
      <c r="B5" s="435"/>
      <c r="C5" s="422" t="s">
        <v>546</v>
      </c>
      <c r="D5" s="422"/>
      <c r="E5" s="422" t="s">
        <v>509</v>
      </c>
      <c r="F5" s="422"/>
      <c r="G5" s="441" t="s">
        <v>510</v>
      </c>
      <c r="H5" s="441" t="s">
        <v>547</v>
      </c>
    </row>
    <row r="6" spans="1:8" ht="78">
      <c r="A6" s="430"/>
      <c r="B6" s="430"/>
      <c r="C6" s="274" t="s">
        <v>548</v>
      </c>
      <c r="D6" s="274" t="s">
        <v>549</v>
      </c>
      <c r="E6" s="274" t="s">
        <v>550</v>
      </c>
      <c r="F6" s="274" t="s">
        <v>551</v>
      </c>
      <c r="G6" s="441"/>
      <c r="H6" s="441"/>
    </row>
    <row r="7" spans="1:8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>
        <v>6</v>
      </c>
      <c r="G7" s="258">
        <v>7</v>
      </c>
      <c r="H7" s="258">
        <v>8</v>
      </c>
    </row>
    <row r="8" spans="1:8" ht="12.75">
      <c r="A8" s="258">
        <v>1</v>
      </c>
      <c r="B8" s="264" t="s">
        <v>456</v>
      </c>
      <c r="C8" s="319"/>
      <c r="D8" s="319"/>
      <c r="E8" s="319"/>
      <c r="F8" s="319"/>
      <c r="G8" s="319"/>
      <c r="H8" s="319"/>
    </row>
    <row r="9" spans="1:8" ht="12.75">
      <c r="A9" s="273" t="s">
        <v>873</v>
      </c>
      <c r="B9" s="277" t="s">
        <v>883</v>
      </c>
      <c r="C9" s="320" t="s">
        <v>408</v>
      </c>
      <c r="D9" s="320" t="s">
        <v>991</v>
      </c>
      <c r="E9" s="320" t="s">
        <v>991</v>
      </c>
      <c r="F9" s="320" t="s">
        <v>408</v>
      </c>
      <c r="G9" s="320" t="s">
        <v>991</v>
      </c>
      <c r="H9" s="320" t="s">
        <v>408</v>
      </c>
    </row>
    <row r="10" spans="1:8" ht="12.75">
      <c r="A10" s="280" t="s">
        <v>430</v>
      </c>
      <c r="B10" s="277" t="s">
        <v>884</v>
      </c>
      <c r="C10" s="320"/>
      <c r="D10" s="320" t="s">
        <v>991</v>
      </c>
      <c r="E10" s="320" t="s">
        <v>991</v>
      </c>
      <c r="F10" s="320" t="s">
        <v>408</v>
      </c>
      <c r="G10" s="320" t="s">
        <v>991</v>
      </c>
      <c r="H10" s="320" t="s">
        <v>408</v>
      </c>
    </row>
    <row r="11" spans="1:8" ht="12.75">
      <c r="A11" s="280" t="s">
        <v>431</v>
      </c>
      <c r="B11" s="277" t="s">
        <v>885</v>
      </c>
      <c r="C11" s="320" t="s">
        <v>408</v>
      </c>
      <c r="D11" s="320" t="s">
        <v>991</v>
      </c>
      <c r="E11" s="320" t="s">
        <v>991</v>
      </c>
      <c r="F11" s="320" t="s">
        <v>408</v>
      </c>
      <c r="G11" s="320" t="s">
        <v>991</v>
      </c>
      <c r="H11" s="320" t="s">
        <v>408</v>
      </c>
    </row>
    <row r="12" spans="1:8" ht="12.75">
      <c r="A12" s="280" t="s">
        <v>432</v>
      </c>
      <c r="B12" s="277" t="s">
        <v>886</v>
      </c>
      <c r="C12" s="320" t="s">
        <v>408</v>
      </c>
      <c r="D12" s="320" t="s">
        <v>991</v>
      </c>
      <c r="E12" s="320" t="s">
        <v>408</v>
      </c>
      <c r="F12" s="320" t="s">
        <v>991</v>
      </c>
      <c r="G12" s="320" t="s">
        <v>991</v>
      </c>
      <c r="H12" s="320" t="s">
        <v>408</v>
      </c>
    </row>
    <row r="13" spans="1:8" ht="12.75">
      <c r="A13" s="280" t="s">
        <v>433</v>
      </c>
      <c r="B13" s="277" t="s">
        <v>887</v>
      </c>
      <c r="C13" s="320" t="s">
        <v>408</v>
      </c>
      <c r="D13" s="320" t="s">
        <v>991</v>
      </c>
      <c r="E13" s="320" t="s">
        <v>408</v>
      </c>
      <c r="F13" s="320" t="s">
        <v>991</v>
      </c>
      <c r="G13" s="320" t="s">
        <v>408</v>
      </c>
      <c r="H13" s="320" t="s">
        <v>408</v>
      </c>
    </row>
    <row r="14" spans="1:8" ht="12.75">
      <c r="A14" s="280"/>
      <c r="B14" s="277"/>
      <c r="C14" s="320"/>
      <c r="D14" s="320"/>
      <c r="E14" s="320"/>
      <c r="F14" s="320"/>
      <c r="G14" s="320"/>
      <c r="H14" s="320"/>
    </row>
    <row r="15" spans="1:8" ht="12.75">
      <c r="A15" s="284" t="s">
        <v>383</v>
      </c>
      <c r="B15" s="264" t="s">
        <v>457</v>
      </c>
      <c r="C15" s="321"/>
      <c r="D15" s="321"/>
      <c r="E15" s="321"/>
      <c r="F15" s="321"/>
      <c r="G15" s="321"/>
      <c r="H15" s="321"/>
    </row>
    <row r="16" spans="1:8" ht="12.75">
      <c r="A16" s="280" t="s">
        <v>645</v>
      </c>
      <c r="B16" s="277" t="s">
        <v>888</v>
      </c>
      <c r="C16" s="320" t="s">
        <v>408</v>
      </c>
      <c r="D16" s="320" t="s">
        <v>991</v>
      </c>
      <c r="E16" s="320" t="s">
        <v>991</v>
      </c>
      <c r="F16" s="320" t="s">
        <v>408</v>
      </c>
      <c r="G16" s="320" t="s">
        <v>991</v>
      </c>
      <c r="H16" s="320" t="s">
        <v>408</v>
      </c>
    </row>
    <row r="17" spans="1:8" ht="12.75">
      <c r="A17" s="280" t="s">
        <v>651</v>
      </c>
      <c r="B17" s="277" t="s">
        <v>889</v>
      </c>
      <c r="C17" s="320" t="s">
        <v>408</v>
      </c>
      <c r="D17" s="320" t="s">
        <v>991</v>
      </c>
      <c r="E17" s="320" t="s">
        <v>991</v>
      </c>
      <c r="F17" s="320" t="s">
        <v>408</v>
      </c>
      <c r="G17" s="320" t="s">
        <v>991</v>
      </c>
      <c r="H17" s="320" t="s">
        <v>408</v>
      </c>
    </row>
    <row r="18" spans="1:8" s="292" customFormat="1" ht="12.75">
      <c r="A18" s="280" t="s">
        <v>655</v>
      </c>
      <c r="B18" s="277" t="s">
        <v>890</v>
      </c>
      <c r="C18" s="320" t="s">
        <v>408</v>
      </c>
      <c r="D18" s="320" t="s">
        <v>991</v>
      </c>
      <c r="E18" s="320" t="s">
        <v>991</v>
      </c>
      <c r="F18" s="320" t="s">
        <v>408</v>
      </c>
      <c r="G18" s="320" t="s">
        <v>991</v>
      </c>
      <c r="H18" s="320" t="s">
        <v>408</v>
      </c>
    </row>
    <row r="19" spans="1:8" ht="12.75">
      <c r="A19" s="280" t="s">
        <v>662</v>
      </c>
      <c r="B19" s="277" t="s">
        <v>891</v>
      </c>
      <c r="C19" s="320" t="s">
        <v>408</v>
      </c>
      <c r="D19" s="320" t="s">
        <v>991</v>
      </c>
      <c r="E19" s="320" t="s">
        <v>991</v>
      </c>
      <c r="F19" s="320" t="s">
        <v>408</v>
      </c>
      <c r="G19" s="320" t="s">
        <v>991</v>
      </c>
      <c r="H19" s="320" t="s">
        <v>408</v>
      </c>
    </row>
    <row r="20" spans="1:8" ht="12.75">
      <c r="A20" s="280" t="s">
        <v>666</v>
      </c>
      <c r="B20" s="277" t="s">
        <v>892</v>
      </c>
      <c r="C20" s="320" t="s">
        <v>408</v>
      </c>
      <c r="D20" s="320" t="s">
        <v>991</v>
      </c>
      <c r="E20" s="320" t="s">
        <v>408</v>
      </c>
      <c r="F20" s="320" t="s">
        <v>991</v>
      </c>
      <c r="G20" s="320" t="s">
        <v>408</v>
      </c>
      <c r="H20" s="320" t="s">
        <v>408</v>
      </c>
    </row>
    <row r="21" spans="1:8" ht="12.75">
      <c r="A21" s="280" t="s">
        <v>670</v>
      </c>
      <c r="B21" s="277" t="s">
        <v>893</v>
      </c>
      <c r="C21" s="320" t="s">
        <v>408</v>
      </c>
      <c r="D21" s="320" t="s">
        <v>991</v>
      </c>
      <c r="E21" s="320" t="s">
        <v>408</v>
      </c>
      <c r="F21" s="320" t="s">
        <v>991</v>
      </c>
      <c r="G21" s="320" t="s">
        <v>991</v>
      </c>
      <c r="H21" s="320" t="s">
        <v>408</v>
      </c>
    </row>
    <row r="22" spans="1:8" ht="12.75">
      <c r="A22" s="280"/>
      <c r="B22" s="277"/>
      <c r="C22" s="320"/>
      <c r="D22" s="320"/>
      <c r="E22" s="320"/>
      <c r="F22" s="320"/>
      <c r="G22" s="320"/>
      <c r="H22" s="320"/>
    </row>
    <row r="23" spans="1:8" ht="12.75">
      <c r="A23" s="284" t="s">
        <v>384</v>
      </c>
      <c r="B23" s="264" t="s">
        <v>458</v>
      </c>
      <c r="C23" s="321"/>
      <c r="D23" s="321"/>
      <c r="E23" s="321"/>
      <c r="F23" s="321"/>
      <c r="G23" s="321"/>
      <c r="H23" s="321"/>
    </row>
    <row r="24" spans="1:8" ht="12.75">
      <c r="A24" s="280" t="s">
        <v>678</v>
      </c>
      <c r="B24" s="277" t="s">
        <v>894</v>
      </c>
      <c r="C24" s="321" t="s">
        <v>408</v>
      </c>
      <c r="D24" s="320" t="s">
        <v>991</v>
      </c>
      <c r="E24" s="321" t="s">
        <v>408</v>
      </c>
      <c r="F24" s="320" t="s">
        <v>991</v>
      </c>
      <c r="G24" s="320" t="s">
        <v>991</v>
      </c>
      <c r="H24" s="321" t="s">
        <v>408</v>
      </c>
    </row>
    <row r="25" spans="1:8" ht="12.75">
      <c r="A25" s="280" t="s">
        <v>679</v>
      </c>
      <c r="B25" s="277" t="s">
        <v>895</v>
      </c>
      <c r="C25" s="321" t="s">
        <v>408</v>
      </c>
      <c r="D25" s="320" t="s">
        <v>991</v>
      </c>
      <c r="E25" s="321" t="s">
        <v>408</v>
      </c>
      <c r="F25" s="320" t="s">
        <v>991</v>
      </c>
      <c r="G25" s="320" t="s">
        <v>991</v>
      </c>
      <c r="H25" s="321" t="s">
        <v>408</v>
      </c>
    </row>
    <row r="26" spans="1:8" ht="12.75">
      <c r="A26" s="280" t="s">
        <v>698</v>
      </c>
      <c r="B26" s="277" t="s">
        <v>896</v>
      </c>
      <c r="C26" s="321" t="s">
        <v>408</v>
      </c>
      <c r="D26" s="320" t="s">
        <v>991</v>
      </c>
      <c r="E26" s="321" t="s">
        <v>408</v>
      </c>
      <c r="F26" s="320" t="s">
        <v>991</v>
      </c>
      <c r="G26" s="320" t="s">
        <v>991</v>
      </c>
      <c r="H26" s="321" t="s">
        <v>408</v>
      </c>
    </row>
    <row r="27" spans="1:8" ht="12.75">
      <c r="A27" s="284"/>
      <c r="B27" s="264"/>
      <c r="C27" s="321"/>
      <c r="D27" s="321"/>
      <c r="E27" s="321"/>
      <c r="F27" s="321"/>
      <c r="G27" s="321"/>
      <c r="H27" s="321"/>
    </row>
    <row r="28" spans="1:8" ht="12.75">
      <c r="A28" s="284" t="s">
        <v>385</v>
      </c>
      <c r="B28" s="264" t="s">
        <v>459</v>
      </c>
      <c r="C28" s="321"/>
      <c r="D28" s="321"/>
      <c r="E28" s="321"/>
      <c r="F28" s="321"/>
      <c r="G28" s="321"/>
      <c r="H28" s="321"/>
    </row>
    <row r="29" spans="1:8" ht="12.75">
      <c r="A29" s="280" t="s">
        <v>680</v>
      </c>
      <c r="B29" s="277" t="s">
        <v>897</v>
      </c>
      <c r="C29" s="321" t="s">
        <v>408</v>
      </c>
      <c r="D29" s="320" t="s">
        <v>991</v>
      </c>
      <c r="E29" s="320" t="s">
        <v>991</v>
      </c>
      <c r="F29" s="321" t="s">
        <v>408</v>
      </c>
      <c r="G29" s="320" t="s">
        <v>991</v>
      </c>
      <c r="H29" s="321" t="s">
        <v>408</v>
      </c>
    </row>
    <row r="30" spans="1:8" ht="12.75">
      <c r="A30" s="280" t="s">
        <v>681</v>
      </c>
      <c r="B30" s="277" t="s">
        <v>898</v>
      </c>
      <c r="C30" s="321" t="s">
        <v>408</v>
      </c>
      <c r="D30" s="320" t="s">
        <v>991</v>
      </c>
      <c r="E30" s="320" t="s">
        <v>991</v>
      </c>
      <c r="F30" s="321" t="s">
        <v>408</v>
      </c>
      <c r="G30" s="320" t="s">
        <v>991</v>
      </c>
      <c r="H30" s="321" t="s">
        <v>408</v>
      </c>
    </row>
    <row r="31" spans="1:8" ht="12.75">
      <c r="A31" s="280" t="s">
        <v>899</v>
      </c>
      <c r="B31" s="277" t="s">
        <v>900</v>
      </c>
      <c r="C31" s="321" t="s">
        <v>408</v>
      </c>
      <c r="D31" s="320" t="s">
        <v>991</v>
      </c>
      <c r="E31" s="321" t="s">
        <v>408</v>
      </c>
      <c r="F31" s="320" t="s">
        <v>991</v>
      </c>
      <c r="G31" s="320" t="s">
        <v>991</v>
      </c>
      <c r="H31" s="321" t="s">
        <v>408</v>
      </c>
    </row>
    <row r="32" spans="1:8" ht="12.75">
      <c r="A32" s="280"/>
      <c r="B32" s="264"/>
      <c r="C32" s="321"/>
      <c r="D32" s="321"/>
      <c r="E32" s="321"/>
      <c r="F32" s="321"/>
      <c r="G32" s="321"/>
      <c r="H32" s="321"/>
    </row>
    <row r="33" spans="1:8" ht="12.75">
      <c r="A33" s="284" t="s">
        <v>874</v>
      </c>
      <c r="B33" s="264" t="s">
        <v>460</v>
      </c>
      <c r="C33" s="321"/>
      <c r="D33" s="321"/>
      <c r="E33" s="321"/>
      <c r="F33" s="321"/>
      <c r="G33" s="321"/>
      <c r="H33" s="321"/>
    </row>
    <row r="34" spans="1:8" ht="12.75">
      <c r="A34" s="284" t="s">
        <v>682</v>
      </c>
      <c r="B34" s="277" t="s">
        <v>901</v>
      </c>
      <c r="C34" s="321" t="s">
        <v>408</v>
      </c>
      <c r="D34" s="320" t="s">
        <v>991</v>
      </c>
      <c r="E34" s="320" t="s">
        <v>991</v>
      </c>
      <c r="F34" s="321" t="s">
        <v>408</v>
      </c>
      <c r="G34" s="320" t="s">
        <v>991</v>
      </c>
      <c r="H34" s="321" t="s">
        <v>408</v>
      </c>
    </row>
    <row r="35" spans="1:8" ht="12.75">
      <c r="A35" s="284" t="s">
        <v>848</v>
      </c>
      <c r="B35" s="277" t="s">
        <v>902</v>
      </c>
      <c r="C35" s="321" t="s">
        <v>408</v>
      </c>
      <c r="D35" s="320" t="s">
        <v>991</v>
      </c>
      <c r="E35" s="320" t="s">
        <v>991</v>
      </c>
      <c r="F35" s="321" t="s">
        <v>408</v>
      </c>
      <c r="G35" s="320" t="s">
        <v>991</v>
      </c>
      <c r="H35" s="321" t="s">
        <v>408</v>
      </c>
    </row>
    <row r="36" spans="1:8" ht="12.75">
      <c r="A36" s="284" t="s">
        <v>849</v>
      </c>
      <c r="B36" s="277" t="s">
        <v>903</v>
      </c>
      <c r="C36" s="321" t="s">
        <v>408</v>
      </c>
      <c r="D36" s="320" t="s">
        <v>991</v>
      </c>
      <c r="E36" s="321" t="s">
        <v>408</v>
      </c>
      <c r="F36" s="320" t="s">
        <v>991</v>
      </c>
      <c r="G36" s="320" t="s">
        <v>991</v>
      </c>
      <c r="H36" s="321" t="s">
        <v>408</v>
      </c>
    </row>
    <row r="37" spans="1:8" ht="12.75">
      <c r="A37" s="284"/>
      <c r="B37" s="264"/>
      <c r="C37" s="321"/>
      <c r="D37" s="321"/>
      <c r="E37" s="321"/>
      <c r="F37" s="321"/>
      <c r="G37" s="321"/>
      <c r="H37" s="321"/>
    </row>
    <row r="38" spans="1:8" ht="12.75">
      <c r="A38" s="284" t="s">
        <v>875</v>
      </c>
      <c r="B38" s="264" t="s">
        <v>461</v>
      </c>
      <c r="C38" s="321"/>
      <c r="D38" s="321"/>
      <c r="E38" s="321"/>
      <c r="F38" s="321"/>
      <c r="G38" s="321"/>
      <c r="H38" s="321"/>
    </row>
    <row r="39" spans="1:8" ht="25.5">
      <c r="A39" s="284" t="s">
        <v>683</v>
      </c>
      <c r="B39" s="277" t="s">
        <v>904</v>
      </c>
      <c r="C39" s="321" t="s">
        <v>408</v>
      </c>
      <c r="D39" s="320" t="s">
        <v>991</v>
      </c>
      <c r="E39" s="320" t="s">
        <v>991</v>
      </c>
      <c r="F39" s="321" t="s">
        <v>408</v>
      </c>
      <c r="G39" s="321" t="s">
        <v>408</v>
      </c>
      <c r="H39" s="321" t="s">
        <v>408</v>
      </c>
    </row>
    <row r="40" spans="1:8" ht="12.75">
      <c r="A40" s="284" t="s">
        <v>905</v>
      </c>
      <c r="B40" s="277" t="s">
        <v>906</v>
      </c>
      <c r="C40" s="321" t="s">
        <v>408</v>
      </c>
      <c r="D40" s="320" t="s">
        <v>991</v>
      </c>
      <c r="E40" s="320" t="s">
        <v>991</v>
      </c>
      <c r="F40" s="321" t="s">
        <v>408</v>
      </c>
      <c r="G40" s="320" t="s">
        <v>991</v>
      </c>
      <c r="H40" s="321" t="s">
        <v>408</v>
      </c>
    </row>
    <row r="41" spans="1:8" ht="12.75">
      <c r="A41" s="284" t="s">
        <v>907</v>
      </c>
      <c r="B41" s="277" t="s">
        <v>908</v>
      </c>
      <c r="C41" s="321" t="s">
        <v>408</v>
      </c>
      <c r="D41" s="320" t="s">
        <v>991</v>
      </c>
      <c r="E41" s="320" t="s">
        <v>991</v>
      </c>
      <c r="F41" s="321" t="s">
        <v>408</v>
      </c>
      <c r="G41" s="320" t="s">
        <v>408</v>
      </c>
      <c r="H41" s="321" t="s">
        <v>408</v>
      </c>
    </row>
    <row r="42" spans="1:8" ht="12.75">
      <c r="A42" s="284" t="s">
        <v>909</v>
      </c>
      <c r="B42" s="277" t="s">
        <v>910</v>
      </c>
      <c r="C42" s="321" t="s">
        <v>408</v>
      </c>
      <c r="D42" s="320" t="s">
        <v>991</v>
      </c>
      <c r="E42" s="320" t="s">
        <v>991</v>
      </c>
      <c r="F42" s="321" t="s">
        <v>408</v>
      </c>
      <c r="G42" s="320" t="s">
        <v>408</v>
      </c>
      <c r="H42" s="321" t="s">
        <v>408</v>
      </c>
    </row>
    <row r="43" spans="1:8" ht="12.75">
      <c r="A43" s="284" t="s">
        <v>911</v>
      </c>
      <c r="B43" s="277" t="s">
        <v>912</v>
      </c>
      <c r="C43" s="321" t="s">
        <v>408</v>
      </c>
      <c r="D43" s="320" t="s">
        <v>991</v>
      </c>
      <c r="E43" s="321" t="s">
        <v>408</v>
      </c>
      <c r="F43" s="320" t="s">
        <v>991</v>
      </c>
      <c r="G43" s="320" t="s">
        <v>991</v>
      </c>
      <c r="H43" s="321" t="s">
        <v>408</v>
      </c>
    </row>
    <row r="44" spans="1:8" ht="12.75">
      <c r="A44" s="284" t="s">
        <v>913</v>
      </c>
      <c r="B44" s="277" t="s">
        <v>914</v>
      </c>
      <c r="C44" s="321" t="s">
        <v>408</v>
      </c>
      <c r="D44" s="320" t="s">
        <v>991</v>
      </c>
      <c r="E44" s="321" t="s">
        <v>408</v>
      </c>
      <c r="F44" s="320" t="s">
        <v>991</v>
      </c>
      <c r="G44" s="320" t="s">
        <v>991</v>
      </c>
      <c r="H44" s="321" t="s">
        <v>408</v>
      </c>
    </row>
    <row r="45" spans="1:8" ht="12.75">
      <c r="A45" s="284" t="s">
        <v>915</v>
      </c>
      <c r="B45" s="277" t="s">
        <v>916</v>
      </c>
      <c r="C45" s="321" t="s">
        <v>408</v>
      </c>
      <c r="D45" s="320" t="s">
        <v>991</v>
      </c>
      <c r="E45" s="320" t="s">
        <v>991</v>
      </c>
      <c r="F45" s="321" t="s">
        <v>408</v>
      </c>
      <c r="G45" s="320" t="s">
        <v>408</v>
      </c>
      <c r="H45" s="321" t="s">
        <v>408</v>
      </c>
    </row>
    <row r="46" spans="1:8" ht="12.75">
      <c r="A46" s="284"/>
      <c r="B46" s="264"/>
      <c r="C46" s="321"/>
      <c r="D46" s="321"/>
      <c r="E46" s="321"/>
      <c r="F46" s="321"/>
      <c r="G46" s="321"/>
      <c r="H46" s="321"/>
    </row>
    <row r="47" spans="1:8" ht="12.75">
      <c r="A47" s="284" t="s">
        <v>876</v>
      </c>
      <c r="B47" s="264" t="s">
        <v>462</v>
      </c>
      <c r="C47" s="321"/>
      <c r="D47" s="321"/>
      <c r="E47" s="321"/>
      <c r="F47" s="321"/>
      <c r="G47" s="321"/>
      <c r="H47" s="321"/>
    </row>
    <row r="48" spans="1:8" ht="25.5">
      <c r="A48" s="284" t="s">
        <v>852</v>
      </c>
      <c r="B48" s="277" t="s">
        <v>917</v>
      </c>
      <c r="C48" s="321" t="s">
        <v>408</v>
      </c>
      <c r="D48" s="320" t="s">
        <v>991</v>
      </c>
      <c r="E48" s="320" t="s">
        <v>991</v>
      </c>
      <c r="F48" s="321" t="s">
        <v>408</v>
      </c>
      <c r="G48" s="320" t="s">
        <v>991</v>
      </c>
      <c r="H48" s="321" t="s">
        <v>408</v>
      </c>
    </row>
    <row r="49" spans="1:8" ht="12.75">
      <c r="A49" s="284" t="s">
        <v>918</v>
      </c>
      <c r="B49" s="277" t="s">
        <v>919</v>
      </c>
      <c r="C49" s="321" t="s">
        <v>408</v>
      </c>
      <c r="D49" s="320" t="s">
        <v>991</v>
      </c>
      <c r="E49" s="320" t="s">
        <v>991</v>
      </c>
      <c r="F49" s="321" t="s">
        <v>408</v>
      </c>
      <c r="G49" s="320" t="s">
        <v>991</v>
      </c>
      <c r="H49" s="321"/>
    </row>
    <row r="50" spans="1:8" ht="12.75">
      <c r="A50" s="284" t="s">
        <v>854</v>
      </c>
      <c r="B50" s="277" t="s">
        <v>920</v>
      </c>
      <c r="C50" s="321" t="s">
        <v>408</v>
      </c>
      <c r="D50" s="320" t="s">
        <v>991</v>
      </c>
      <c r="E50" s="320" t="s">
        <v>991</v>
      </c>
      <c r="F50" s="321" t="s">
        <v>408</v>
      </c>
      <c r="G50" s="320" t="s">
        <v>991</v>
      </c>
      <c r="H50" s="321" t="s">
        <v>408</v>
      </c>
    </row>
    <row r="51" spans="1:8" ht="25.5">
      <c r="A51" s="284" t="s">
        <v>855</v>
      </c>
      <c r="B51" s="277" t="s">
        <v>921</v>
      </c>
      <c r="C51" s="321" t="s">
        <v>408</v>
      </c>
      <c r="D51" s="320" t="s">
        <v>991</v>
      </c>
      <c r="E51" s="320" t="s">
        <v>991</v>
      </c>
      <c r="F51" s="321" t="s">
        <v>408</v>
      </c>
      <c r="G51" s="320" t="s">
        <v>991</v>
      </c>
      <c r="H51" s="321" t="s">
        <v>408</v>
      </c>
    </row>
    <row r="52" spans="1:8" ht="12.75">
      <c r="A52" s="284" t="s">
        <v>856</v>
      </c>
      <c r="B52" s="277" t="s">
        <v>922</v>
      </c>
      <c r="C52" s="321" t="s">
        <v>408</v>
      </c>
      <c r="D52" s="320" t="s">
        <v>991</v>
      </c>
      <c r="E52" s="321" t="s">
        <v>408</v>
      </c>
      <c r="F52" s="320" t="s">
        <v>991</v>
      </c>
      <c r="G52" s="321" t="s">
        <v>408</v>
      </c>
      <c r="H52" s="321" t="s">
        <v>408</v>
      </c>
    </row>
    <row r="53" spans="1:8" ht="12.75">
      <c r="A53" s="284" t="s">
        <v>857</v>
      </c>
      <c r="B53" s="277" t="s">
        <v>923</v>
      </c>
      <c r="C53" s="321" t="s">
        <v>408</v>
      </c>
      <c r="D53" s="320" t="s">
        <v>991</v>
      </c>
      <c r="E53" s="321" t="s">
        <v>408</v>
      </c>
      <c r="F53" s="320" t="s">
        <v>991</v>
      </c>
      <c r="G53" s="321" t="s">
        <v>408</v>
      </c>
      <c r="H53" s="321" t="s">
        <v>408</v>
      </c>
    </row>
    <row r="54" spans="1:8" ht="12.75">
      <c r="A54" s="284" t="s">
        <v>858</v>
      </c>
      <c r="B54" s="277" t="s">
        <v>924</v>
      </c>
      <c r="C54" s="321" t="s">
        <v>408</v>
      </c>
      <c r="D54" s="320" t="s">
        <v>991</v>
      </c>
      <c r="E54" s="321" t="s">
        <v>408</v>
      </c>
      <c r="F54" s="320" t="s">
        <v>991</v>
      </c>
      <c r="G54" s="321" t="s">
        <v>408</v>
      </c>
      <c r="H54" s="321" t="s">
        <v>408</v>
      </c>
    </row>
    <row r="55" spans="1:8" ht="12.75">
      <c r="A55" s="284" t="s">
        <v>859</v>
      </c>
      <c r="B55" s="277" t="s">
        <v>925</v>
      </c>
      <c r="C55" s="321" t="s">
        <v>408</v>
      </c>
      <c r="D55" s="320" t="s">
        <v>991</v>
      </c>
      <c r="E55" s="320" t="s">
        <v>991</v>
      </c>
      <c r="F55" s="321" t="s">
        <v>408</v>
      </c>
      <c r="G55" s="320" t="s">
        <v>991</v>
      </c>
      <c r="H55" s="321" t="s">
        <v>408</v>
      </c>
    </row>
    <row r="56" spans="1:8" ht="12.75">
      <c r="A56" s="284" t="s">
        <v>926</v>
      </c>
      <c r="B56" s="277" t="s">
        <v>927</v>
      </c>
      <c r="C56" s="321" t="s">
        <v>408</v>
      </c>
      <c r="D56" s="320" t="s">
        <v>991</v>
      </c>
      <c r="E56" s="320" t="s">
        <v>991</v>
      </c>
      <c r="F56" s="321" t="s">
        <v>408</v>
      </c>
      <c r="G56" s="320" t="s">
        <v>408</v>
      </c>
      <c r="H56" s="321" t="s">
        <v>408</v>
      </c>
    </row>
    <row r="57" spans="1:8" ht="12.75">
      <c r="A57" s="284" t="s">
        <v>928</v>
      </c>
      <c r="B57" s="277" t="s">
        <v>929</v>
      </c>
      <c r="C57" s="321" t="s">
        <v>408</v>
      </c>
      <c r="D57" s="320" t="s">
        <v>991</v>
      </c>
      <c r="E57" s="320" t="s">
        <v>991</v>
      </c>
      <c r="F57" s="321" t="s">
        <v>408</v>
      </c>
      <c r="G57" s="320" t="s">
        <v>991</v>
      </c>
      <c r="H57" s="321" t="s">
        <v>408</v>
      </c>
    </row>
    <row r="58" spans="1:8" ht="12.75">
      <c r="A58" s="284"/>
      <c r="B58" s="277"/>
      <c r="C58" s="321"/>
      <c r="D58" s="321"/>
      <c r="E58" s="321"/>
      <c r="F58" s="321"/>
      <c r="G58" s="321"/>
      <c r="H58" s="321"/>
    </row>
    <row r="59" spans="1:8" ht="12.75">
      <c r="A59" s="284" t="s">
        <v>877</v>
      </c>
      <c r="B59" s="264" t="s">
        <v>463</v>
      </c>
      <c r="C59" s="321"/>
      <c r="D59" s="321"/>
      <c r="E59" s="321"/>
      <c r="F59" s="321"/>
      <c r="G59" s="321"/>
      <c r="H59" s="321"/>
    </row>
    <row r="60" spans="1:8" ht="12.75">
      <c r="A60" s="280" t="s">
        <v>861</v>
      </c>
      <c r="B60" s="277" t="s">
        <v>930</v>
      </c>
      <c r="C60" s="321" t="s">
        <v>408</v>
      </c>
      <c r="D60" s="320" t="s">
        <v>991</v>
      </c>
      <c r="E60" s="320" t="s">
        <v>991</v>
      </c>
      <c r="F60" s="321" t="s">
        <v>408</v>
      </c>
      <c r="G60" s="320" t="s">
        <v>991</v>
      </c>
      <c r="H60" s="321" t="s">
        <v>408</v>
      </c>
    </row>
    <row r="61" spans="1:8" ht="12.75">
      <c r="A61" s="280" t="s">
        <v>862</v>
      </c>
      <c r="B61" s="277" t="s">
        <v>931</v>
      </c>
      <c r="C61" s="321" t="s">
        <v>408</v>
      </c>
      <c r="D61" s="320" t="s">
        <v>991</v>
      </c>
      <c r="E61" s="320" t="s">
        <v>991</v>
      </c>
      <c r="F61" s="321" t="s">
        <v>408</v>
      </c>
      <c r="G61" s="320" t="s">
        <v>991</v>
      </c>
      <c r="H61" s="321" t="s">
        <v>408</v>
      </c>
    </row>
    <row r="62" spans="1:8" ht="12.75">
      <c r="A62" s="280" t="s">
        <v>863</v>
      </c>
      <c r="B62" s="277" t="s">
        <v>932</v>
      </c>
      <c r="C62" s="321" t="s">
        <v>408</v>
      </c>
      <c r="D62" s="320" t="s">
        <v>991</v>
      </c>
      <c r="E62" s="320" t="s">
        <v>991</v>
      </c>
      <c r="F62" s="321" t="s">
        <v>408</v>
      </c>
      <c r="G62" s="320" t="s">
        <v>991</v>
      </c>
      <c r="H62" s="321" t="s">
        <v>408</v>
      </c>
    </row>
    <row r="63" spans="1:8" ht="12.75">
      <c r="A63" s="280" t="s">
        <v>864</v>
      </c>
      <c r="B63" s="277" t="s">
        <v>933</v>
      </c>
      <c r="C63" s="321" t="s">
        <v>408</v>
      </c>
      <c r="D63" s="320" t="s">
        <v>991</v>
      </c>
      <c r="E63" s="320" t="s">
        <v>991</v>
      </c>
      <c r="F63" s="321" t="s">
        <v>408</v>
      </c>
      <c r="G63" s="320" t="s">
        <v>991</v>
      </c>
      <c r="H63" s="321" t="s">
        <v>408</v>
      </c>
    </row>
    <row r="64" spans="1:8" ht="12.75">
      <c r="A64" s="280" t="s">
        <v>865</v>
      </c>
      <c r="B64" s="277" t="s">
        <v>934</v>
      </c>
      <c r="C64" s="321" t="s">
        <v>408</v>
      </c>
      <c r="D64" s="320" t="s">
        <v>991</v>
      </c>
      <c r="E64" s="321" t="s">
        <v>408</v>
      </c>
      <c r="F64" s="320" t="s">
        <v>991</v>
      </c>
      <c r="G64" s="320" t="s">
        <v>991</v>
      </c>
      <c r="H64" s="321" t="s">
        <v>408</v>
      </c>
    </row>
    <row r="65" spans="1:8" ht="12.75">
      <c r="A65" s="280" t="s">
        <v>866</v>
      </c>
      <c r="B65" s="277" t="s">
        <v>935</v>
      </c>
      <c r="C65" s="321" t="s">
        <v>408</v>
      </c>
      <c r="D65" s="320" t="s">
        <v>991</v>
      </c>
      <c r="E65" s="321" t="s">
        <v>408</v>
      </c>
      <c r="F65" s="320" t="s">
        <v>991</v>
      </c>
      <c r="G65" s="320" t="s">
        <v>991</v>
      </c>
      <c r="H65" s="321" t="s">
        <v>408</v>
      </c>
    </row>
    <row r="66" spans="1:8" ht="12.75">
      <c r="A66" s="284"/>
      <c r="B66" s="264"/>
      <c r="C66" s="321"/>
      <c r="D66" s="321"/>
      <c r="E66" s="321"/>
      <c r="F66" s="321"/>
      <c r="G66" s="321"/>
      <c r="H66" s="321"/>
    </row>
    <row r="67" spans="1:8" ht="12.75">
      <c r="A67" s="284" t="s">
        <v>878</v>
      </c>
      <c r="B67" s="264" t="s">
        <v>464</v>
      </c>
      <c r="C67" s="321"/>
      <c r="D67" s="321"/>
      <c r="E67" s="321"/>
      <c r="F67" s="321"/>
      <c r="G67" s="321"/>
      <c r="H67" s="321"/>
    </row>
    <row r="68" spans="1:8" ht="12.75">
      <c r="A68" s="280" t="s">
        <v>936</v>
      </c>
      <c r="B68" s="277" t="s">
        <v>937</v>
      </c>
      <c r="C68" s="321" t="s">
        <v>408</v>
      </c>
      <c r="D68" s="320" t="s">
        <v>991</v>
      </c>
      <c r="E68" s="320" t="s">
        <v>991</v>
      </c>
      <c r="F68" s="321" t="s">
        <v>408</v>
      </c>
      <c r="G68" s="320" t="s">
        <v>991</v>
      </c>
      <c r="H68" s="321" t="s">
        <v>408</v>
      </c>
    </row>
    <row r="69" spans="1:8" ht="12.75">
      <c r="A69" s="280" t="s">
        <v>938</v>
      </c>
      <c r="B69" s="277" t="s">
        <v>939</v>
      </c>
      <c r="C69" s="321" t="s">
        <v>408</v>
      </c>
      <c r="D69" s="320" t="s">
        <v>991</v>
      </c>
      <c r="E69" s="320" t="s">
        <v>991</v>
      </c>
      <c r="F69" s="321" t="s">
        <v>408</v>
      </c>
      <c r="G69" s="320" t="s">
        <v>991</v>
      </c>
      <c r="H69" s="321" t="s">
        <v>408</v>
      </c>
    </row>
    <row r="70" spans="1:8" ht="12.75">
      <c r="A70" s="280" t="s">
        <v>940</v>
      </c>
      <c r="B70" s="277" t="s">
        <v>941</v>
      </c>
      <c r="C70" s="321" t="s">
        <v>408</v>
      </c>
      <c r="D70" s="320" t="s">
        <v>991</v>
      </c>
      <c r="E70" s="320" t="s">
        <v>991</v>
      </c>
      <c r="F70" s="321" t="s">
        <v>408</v>
      </c>
      <c r="G70" s="320" t="s">
        <v>408</v>
      </c>
      <c r="H70" s="321" t="s">
        <v>408</v>
      </c>
    </row>
    <row r="71" spans="1:8" ht="12.75">
      <c r="A71" s="280" t="s">
        <v>942</v>
      </c>
      <c r="B71" s="277" t="s">
        <v>943</v>
      </c>
      <c r="C71" s="321" t="s">
        <v>408</v>
      </c>
      <c r="D71" s="320" t="s">
        <v>991</v>
      </c>
      <c r="E71" s="321" t="s">
        <v>408</v>
      </c>
      <c r="F71" s="320" t="s">
        <v>991</v>
      </c>
      <c r="G71" s="320" t="s">
        <v>408</v>
      </c>
      <c r="H71" s="321" t="s">
        <v>408</v>
      </c>
    </row>
    <row r="72" spans="1:8" ht="12.75">
      <c r="A72" s="280" t="s">
        <v>944</v>
      </c>
      <c r="B72" s="277" t="s">
        <v>945</v>
      </c>
      <c r="C72" s="321" t="s">
        <v>408</v>
      </c>
      <c r="D72" s="320" t="s">
        <v>991</v>
      </c>
      <c r="E72" s="321" t="s">
        <v>408</v>
      </c>
      <c r="F72" s="320" t="s">
        <v>991</v>
      </c>
      <c r="G72" s="320" t="s">
        <v>408</v>
      </c>
      <c r="H72" s="321" t="s">
        <v>408</v>
      </c>
    </row>
    <row r="73" spans="1:8" ht="12.75">
      <c r="A73" s="280"/>
      <c r="B73" s="277"/>
      <c r="C73" s="321"/>
      <c r="D73" s="321"/>
      <c r="E73" s="321"/>
      <c r="F73" s="321"/>
      <c r="G73" s="321"/>
      <c r="H73" s="321"/>
    </row>
    <row r="74" spans="1:8" ht="12.75">
      <c r="A74" s="284" t="s">
        <v>879</v>
      </c>
      <c r="B74" s="264" t="s">
        <v>465</v>
      </c>
      <c r="C74" s="321"/>
      <c r="D74" s="321"/>
      <c r="E74" s="321"/>
      <c r="F74" s="321"/>
      <c r="G74" s="321"/>
      <c r="H74" s="321"/>
    </row>
    <row r="75" spans="1:8" ht="12.75">
      <c r="A75" s="280" t="s">
        <v>946</v>
      </c>
      <c r="B75" s="277" t="s">
        <v>947</v>
      </c>
      <c r="C75" s="321" t="s">
        <v>408</v>
      </c>
      <c r="D75" s="320" t="s">
        <v>991</v>
      </c>
      <c r="E75" s="320" t="s">
        <v>991</v>
      </c>
      <c r="F75" s="321" t="s">
        <v>408</v>
      </c>
      <c r="G75" s="320" t="s">
        <v>991</v>
      </c>
      <c r="H75" s="321" t="s">
        <v>408</v>
      </c>
    </row>
    <row r="76" spans="1:8" ht="12.75">
      <c r="A76" s="280" t="s">
        <v>948</v>
      </c>
      <c r="B76" s="277" t="s">
        <v>949</v>
      </c>
      <c r="C76" s="321" t="s">
        <v>408</v>
      </c>
      <c r="D76" s="320" t="s">
        <v>991</v>
      </c>
      <c r="E76" s="320" t="s">
        <v>991</v>
      </c>
      <c r="F76" s="321" t="s">
        <v>408</v>
      </c>
      <c r="G76" s="320" t="s">
        <v>991</v>
      </c>
      <c r="H76" s="321" t="s">
        <v>408</v>
      </c>
    </row>
    <row r="77" spans="1:8" ht="12.75">
      <c r="A77" s="280" t="s">
        <v>950</v>
      </c>
      <c r="B77" s="277" t="s">
        <v>951</v>
      </c>
      <c r="C77" s="321" t="s">
        <v>408</v>
      </c>
      <c r="D77" s="320" t="s">
        <v>991</v>
      </c>
      <c r="E77" s="321" t="s">
        <v>408</v>
      </c>
      <c r="F77" s="320" t="s">
        <v>991</v>
      </c>
      <c r="G77" s="320" t="s">
        <v>991</v>
      </c>
      <c r="H77" s="321" t="s">
        <v>408</v>
      </c>
    </row>
    <row r="78" spans="1:8" ht="12.75">
      <c r="A78" s="280" t="s">
        <v>952</v>
      </c>
      <c r="B78" s="277" t="s">
        <v>953</v>
      </c>
      <c r="C78" s="321" t="s">
        <v>408</v>
      </c>
      <c r="D78" s="320" t="s">
        <v>991</v>
      </c>
      <c r="E78" s="321" t="s">
        <v>408</v>
      </c>
      <c r="F78" s="320" t="s">
        <v>991</v>
      </c>
      <c r="G78" s="320" t="s">
        <v>408</v>
      </c>
      <c r="H78" s="321" t="s">
        <v>408</v>
      </c>
    </row>
    <row r="79" spans="1:8" ht="12.75">
      <c r="A79" s="284"/>
      <c r="B79" s="264"/>
      <c r="C79" s="321"/>
      <c r="D79" s="321"/>
      <c r="E79" s="321"/>
      <c r="F79" s="321"/>
      <c r="G79" s="321"/>
      <c r="H79" s="321"/>
    </row>
    <row r="80" spans="1:8" ht="12.75">
      <c r="A80" s="258">
        <v>11</v>
      </c>
      <c r="B80" s="272" t="s">
        <v>466</v>
      </c>
      <c r="C80" s="321"/>
      <c r="D80" s="321"/>
      <c r="E80" s="321"/>
      <c r="F80" s="321"/>
      <c r="G80" s="321"/>
      <c r="H80" s="321"/>
    </row>
    <row r="81" spans="1:8" ht="12.75">
      <c r="A81" s="322"/>
      <c r="B81" s="323" t="s">
        <v>954</v>
      </c>
      <c r="C81" s="321" t="s">
        <v>408</v>
      </c>
      <c r="D81" s="320" t="s">
        <v>991</v>
      </c>
      <c r="E81" s="320" t="s">
        <v>991</v>
      </c>
      <c r="F81" s="321" t="s">
        <v>408</v>
      </c>
      <c r="G81" s="320" t="s">
        <v>991</v>
      </c>
      <c r="H81" s="321" t="s">
        <v>408</v>
      </c>
    </row>
    <row r="82" spans="1:8" ht="12.75">
      <c r="A82" s="322"/>
      <c r="B82" s="323" t="s">
        <v>955</v>
      </c>
      <c r="C82" s="321" t="s">
        <v>408</v>
      </c>
      <c r="D82" s="320" t="s">
        <v>991</v>
      </c>
      <c r="E82" s="320" t="s">
        <v>991</v>
      </c>
      <c r="F82" s="321" t="s">
        <v>408</v>
      </c>
      <c r="G82" s="320" t="s">
        <v>991</v>
      </c>
      <c r="H82" s="321" t="s">
        <v>408</v>
      </c>
    </row>
    <row r="83" spans="1:8" ht="12.75">
      <c r="A83" s="258"/>
      <c r="B83" s="323" t="s">
        <v>956</v>
      </c>
      <c r="C83" s="321" t="s">
        <v>408</v>
      </c>
      <c r="D83" s="320" t="s">
        <v>991</v>
      </c>
      <c r="E83" s="320" t="s">
        <v>991</v>
      </c>
      <c r="F83" s="321" t="s">
        <v>408</v>
      </c>
      <c r="G83" s="320" t="s">
        <v>991</v>
      </c>
      <c r="H83" s="321" t="s">
        <v>408</v>
      </c>
    </row>
    <row r="84" spans="1:8" ht="12.75">
      <c r="A84" s="258"/>
      <c r="B84" s="323" t="s">
        <v>957</v>
      </c>
      <c r="C84" s="321" t="s">
        <v>408</v>
      </c>
      <c r="D84" s="320" t="s">
        <v>991</v>
      </c>
      <c r="E84" s="321" t="s">
        <v>408</v>
      </c>
      <c r="F84" s="320" t="s">
        <v>991</v>
      </c>
      <c r="G84" s="320" t="s">
        <v>991</v>
      </c>
      <c r="H84" s="321" t="s">
        <v>408</v>
      </c>
    </row>
    <row r="85" spans="1:8" ht="12.75">
      <c r="A85" s="258"/>
      <c r="B85" s="323" t="s">
        <v>958</v>
      </c>
      <c r="C85" s="321" t="s">
        <v>408</v>
      </c>
      <c r="D85" s="320" t="s">
        <v>991</v>
      </c>
      <c r="E85" s="321" t="s">
        <v>408</v>
      </c>
      <c r="F85" s="320" t="s">
        <v>991</v>
      </c>
      <c r="G85" s="320" t="s">
        <v>991</v>
      </c>
      <c r="H85" s="321" t="s">
        <v>408</v>
      </c>
    </row>
    <row r="86" spans="1:8" ht="12.75">
      <c r="A86" s="258"/>
      <c r="B86" s="272"/>
      <c r="C86" s="321"/>
      <c r="D86" s="321"/>
      <c r="E86" s="321"/>
      <c r="F86" s="321"/>
      <c r="G86" s="321"/>
      <c r="H86" s="321"/>
    </row>
    <row r="87" spans="1:8" ht="12.75">
      <c r="A87" s="284" t="s">
        <v>881</v>
      </c>
      <c r="B87" s="264" t="s">
        <v>467</v>
      </c>
      <c r="C87" s="321"/>
      <c r="D87" s="321"/>
      <c r="E87" s="321"/>
      <c r="F87" s="321"/>
      <c r="G87" s="321"/>
      <c r="H87" s="321"/>
    </row>
    <row r="88" spans="1:8" ht="12.75">
      <c r="A88" s="284"/>
      <c r="B88" s="277" t="s">
        <v>959</v>
      </c>
      <c r="C88" s="321" t="s">
        <v>408</v>
      </c>
      <c r="D88" s="320" t="s">
        <v>991</v>
      </c>
      <c r="E88" s="320" t="s">
        <v>991</v>
      </c>
      <c r="F88" s="321" t="s">
        <v>408</v>
      </c>
      <c r="G88" s="320" t="s">
        <v>991</v>
      </c>
      <c r="H88" s="321" t="s">
        <v>408</v>
      </c>
    </row>
    <row r="89" spans="1:8" ht="12.75">
      <c r="A89" s="284"/>
      <c r="B89" s="277" t="s">
        <v>960</v>
      </c>
      <c r="C89" s="321" t="s">
        <v>408</v>
      </c>
      <c r="D89" s="320" t="s">
        <v>991</v>
      </c>
      <c r="E89" s="321" t="s">
        <v>408</v>
      </c>
      <c r="F89" s="320" t="s">
        <v>991</v>
      </c>
      <c r="G89" s="320" t="s">
        <v>991</v>
      </c>
      <c r="H89" s="321" t="s">
        <v>408</v>
      </c>
    </row>
    <row r="90" spans="1:8" ht="12.75">
      <c r="A90" s="284"/>
      <c r="B90" s="277" t="s">
        <v>961</v>
      </c>
      <c r="C90" s="321" t="s">
        <v>408</v>
      </c>
      <c r="D90" s="320" t="s">
        <v>991</v>
      </c>
      <c r="E90" s="321" t="s">
        <v>408</v>
      </c>
      <c r="F90" s="320" t="s">
        <v>991</v>
      </c>
      <c r="G90" s="320" t="s">
        <v>991</v>
      </c>
      <c r="H90" s="321" t="s">
        <v>408</v>
      </c>
    </row>
    <row r="91" spans="1:8" ht="12.75">
      <c r="A91" s="284"/>
      <c r="B91" s="277" t="s">
        <v>962</v>
      </c>
      <c r="C91" s="321" t="s">
        <v>408</v>
      </c>
      <c r="D91" s="320" t="s">
        <v>991</v>
      </c>
      <c r="E91" s="320" t="s">
        <v>991</v>
      </c>
      <c r="F91" s="321" t="s">
        <v>408</v>
      </c>
      <c r="G91" s="320" t="s">
        <v>991</v>
      </c>
      <c r="H91" s="321" t="s">
        <v>408</v>
      </c>
    </row>
    <row r="92" spans="1:8" ht="12.75">
      <c r="A92" s="284"/>
      <c r="B92" s="277" t="s">
        <v>963</v>
      </c>
      <c r="C92" s="321" t="s">
        <v>408</v>
      </c>
      <c r="D92" s="320" t="s">
        <v>991</v>
      </c>
      <c r="E92" s="320" t="s">
        <v>991</v>
      </c>
      <c r="F92" s="321" t="s">
        <v>408</v>
      </c>
      <c r="G92" s="320" t="s">
        <v>991</v>
      </c>
      <c r="H92" s="321" t="s">
        <v>408</v>
      </c>
    </row>
    <row r="93" spans="1:8" ht="12.75">
      <c r="A93" s="284"/>
      <c r="B93" s="277" t="s">
        <v>964</v>
      </c>
      <c r="C93" s="321" t="s">
        <v>408</v>
      </c>
      <c r="D93" s="320" t="s">
        <v>991</v>
      </c>
      <c r="E93" s="321" t="s">
        <v>408</v>
      </c>
      <c r="F93" s="320" t="s">
        <v>991</v>
      </c>
      <c r="G93" s="320" t="s">
        <v>991</v>
      </c>
      <c r="H93" s="321" t="s">
        <v>408</v>
      </c>
    </row>
    <row r="94" spans="1:8" ht="12.75">
      <c r="A94" s="284"/>
      <c r="B94" s="277" t="s">
        <v>965</v>
      </c>
      <c r="C94" s="321" t="s">
        <v>408</v>
      </c>
      <c r="D94" s="320" t="s">
        <v>991</v>
      </c>
      <c r="E94" s="321" t="s">
        <v>408</v>
      </c>
      <c r="F94" s="320" t="s">
        <v>991</v>
      </c>
      <c r="G94" s="321" t="s">
        <v>408</v>
      </c>
      <c r="H94" s="321" t="s">
        <v>408</v>
      </c>
    </row>
    <row r="95" spans="1:8" ht="12.75">
      <c r="A95" s="284"/>
      <c r="B95" s="277" t="s">
        <v>966</v>
      </c>
      <c r="C95" s="321" t="s">
        <v>408</v>
      </c>
      <c r="D95" s="320" t="s">
        <v>991</v>
      </c>
      <c r="E95" s="321" t="s">
        <v>408</v>
      </c>
      <c r="F95" s="320" t="s">
        <v>991</v>
      </c>
      <c r="G95" s="320" t="s">
        <v>408</v>
      </c>
      <c r="H95" s="321" t="s">
        <v>408</v>
      </c>
    </row>
    <row r="96" spans="1:8" ht="12.75">
      <c r="A96" s="284"/>
      <c r="B96" s="264"/>
      <c r="C96" s="321"/>
      <c r="D96" s="321"/>
      <c r="E96" s="321"/>
      <c r="F96" s="321"/>
      <c r="G96" s="321"/>
      <c r="H96" s="321"/>
    </row>
    <row r="97" spans="1:8" ht="12.75">
      <c r="A97" s="284" t="s">
        <v>880</v>
      </c>
      <c r="B97" s="264" t="s">
        <v>468</v>
      </c>
      <c r="C97" s="321"/>
      <c r="D97" s="321"/>
      <c r="E97" s="321"/>
      <c r="F97" s="321"/>
      <c r="G97" s="321"/>
      <c r="H97" s="321"/>
    </row>
    <row r="98" spans="1:8" ht="12.75">
      <c r="A98" s="65"/>
      <c r="B98" s="324" t="s">
        <v>967</v>
      </c>
      <c r="C98" s="111" t="s">
        <v>408</v>
      </c>
      <c r="D98" s="320" t="s">
        <v>991</v>
      </c>
      <c r="E98" s="320" t="s">
        <v>991</v>
      </c>
      <c r="F98" s="111" t="s">
        <v>408</v>
      </c>
      <c r="G98" s="320" t="s">
        <v>991</v>
      </c>
      <c r="H98" s="111" t="s">
        <v>408</v>
      </c>
    </row>
    <row r="99" spans="1:8" ht="12.75">
      <c r="A99" s="65"/>
      <c r="B99" s="324" t="s">
        <v>968</v>
      </c>
      <c r="C99" s="111" t="s">
        <v>408</v>
      </c>
      <c r="D99" s="320" t="s">
        <v>991</v>
      </c>
      <c r="E99" s="111" t="s">
        <v>408</v>
      </c>
      <c r="F99" s="320" t="s">
        <v>991</v>
      </c>
      <c r="G99" s="320" t="s">
        <v>991</v>
      </c>
      <c r="H99" s="111" t="s">
        <v>408</v>
      </c>
    </row>
    <row r="100" spans="1:8" ht="12.75">
      <c r="A100" s="65"/>
      <c r="B100" s="324" t="s">
        <v>969</v>
      </c>
      <c r="C100" s="111" t="s">
        <v>408</v>
      </c>
      <c r="D100" s="320" t="s">
        <v>991</v>
      </c>
      <c r="E100" s="320" t="s">
        <v>991</v>
      </c>
      <c r="F100" s="320" t="s">
        <v>408</v>
      </c>
      <c r="G100" s="320" t="s">
        <v>408</v>
      </c>
      <c r="H100" s="111" t="s">
        <v>408</v>
      </c>
    </row>
    <row r="101" spans="1:8" ht="12.75">
      <c r="A101" s="65"/>
      <c r="B101" s="324" t="s">
        <v>970</v>
      </c>
      <c r="C101" s="111" t="s">
        <v>408</v>
      </c>
      <c r="D101" s="320" t="s">
        <v>991</v>
      </c>
      <c r="E101" s="320" t="s">
        <v>408</v>
      </c>
      <c r="F101" s="320" t="s">
        <v>991</v>
      </c>
      <c r="G101" s="320" t="s">
        <v>991</v>
      </c>
      <c r="H101" s="111" t="s">
        <v>408</v>
      </c>
    </row>
    <row r="102" spans="1:8" ht="12.75">
      <c r="A102" s="65"/>
      <c r="B102" s="324" t="s">
        <v>971</v>
      </c>
      <c r="C102" s="111" t="s">
        <v>408</v>
      </c>
      <c r="D102" s="320" t="s">
        <v>991</v>
      </c>
      <c r="E102" s="111" t="s">
        <v>408</v>
      </c>
      <c r="F102" s="320" t="s">
        <v>991</v>
      </c>
      <c r="G102" s="320" t="s">
        <v>991</v>
      </c>
      <c r="H102" s="111" t="s">
        <v>408</v>
      </c>
    </row>
    <row r="103" spans="1:8" ht="12.75">
      <c r="A103" s="65"/>
      <c r="B103" s="324" t="s">
        <v>972</v>
      </c>
      <c r="C103" s="111" t="s">
        <v>408</v>
      </c>
      <c r="D103" s="320" t="s">
        <v>991</v>
      </c>
      <c r="E103" s="111" t="s">
        <v>408</v>
      </c>
      <c r="F103" s="320" t="s">
        <v>991</v>
      </c>
      <c r="G103" s="320" t="s">
        <v>408</v>
      </c>
      <c r="H103" s="111" t="s">
        <v>408</v>
      </c>
    </row>
    <row r="104" spans="1:8" ht="12.75">
      <c r="A104" s="65"/>
      <c r="B104" s="324" t="s">
        <v>973</v>
      </c>
      <c r="C104" s="111" t="s">
        <v>408</v>
      </c>
      <c r="D104" s="111" t="s">
        <v>408</v>
      </c>
      <c r="E104" s="111" t="s">
        <v>408</v>
      </c>
      <c r="F104" s="111" t="s">
        <v>408</v>
      </c>
      <c r="G104" s="111" t="s">
        <v>408</v>
      </c>
      <c r="H104" s="111" t="s">
        <v>408</v>
      </c>
    </row>
  </sheetData>
  <sheetProtection/>
  <mergeCells count="9">
    <mergeCell ref="A4:A6"/>
    <mergeCell ref="B4:B6"/>
    <mergeCell ref="G1:H1"/>
    <mergeCell ref="A2:H2"/>
    <mergeCell ref="C5:D5"/>
    <mergeCell ref="E5:F5"/>
    <mergeCell ref="G5:G6"/>
    <mergeCell ref="H5:H6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Teapot</cp:lastModifiedBy>
  <cp:lastPrinted>2013-10-08T07:12:21Z</cp:lastPrinted>
  <dcterms:created xsi:type="dcterms:W3CDTF">2004-07-01T04:41:05Z</dcterms:created>
  <dcterms:modified xsi:type="dcterms:W3CDTF">2013-12-04T12:25:25Z</dcterms:modified>
  <cp:category/>
  <cp:version/>
  <cp:contentType/>
  <cp:contentStatus/>
</cp:coreProperties>
</file>